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330"/>
  <workbookPr codeName="ThisWorkbook" autoCompressPictures="0"/>
  <workbookProtection workbookPassword="9B24" lockStructure="1"/>
  <bookViews>
    <workbookView xWindow="0" yWindow="0" windowWidth="27320" windowHeight="14900" firstSheet="1" activeTab="1"/>
  </bookViews>
  <sheets>
    <sheet name="1.Multi-SiteCalc" sheetId="1" state="hidden" r:id="rId1"/>
    <sheet name="SocialRiskCalc" sheetId="2" r:id="rId2"/>
    <sheet name="Audit risk analysis" sheetId="3" state="hidden" r:id="rId3"/>
    <sheet name="CountryRisk" sheetId="4" state="hidden" r:id="rId4"/>
    <sheet name="Aligned standard" sheetId="7" state="hidden" r:id="rId5"/>
    <sheet name="Lookup" sheetId="6" state="hidden" r:id="rId6"/>
  </sheets>
  <externalReferences>
    <externalReference r:id="rId7"/>
  </externalReferences>
  <definedNames>
    <definedName name="_xlnm._FilterDatabase" localSheetId="3" hidden="1">CountryRisk!$A$5:$Z$172</definedName>
    <definedName name="HIGH">Lookup!$B$3:$B$5</definedName>
    <definedName name="HML">Lookup!$B$3:$B$5</definedName>
    <definedName name="Initial_audit_response">Lookup!$A$3:$A$4</definedName>
    <definedName name="Z_033A95D0_94F2_0942_BC86_50E37364F610_.wvu.Cols" localSheetId="3" hidden="1">CountryRisk!$M:$P,CountryRisk!$U:$U</definedName>
    <definedName name="Z_033A95D0_94F2_0942_BC86_50E37364F610_.wvu.FilterData" localSheetId="3" hidden="1">CountryRisk!$A$4:$Z$171</definedName>
    <definedName name="Z_B86257EE_0156_41F8_B4C2_E78E8DECB83A_.wvu.Cols" localSheetId="3" hidden="1">CountryRisk!$M:$P,CountryRisk!$U:$U</definedName>
    <definedName name="Z_B86257EE_0156_41F8_B4C2_E78E8DECB83A_.wvu.FilterData" localSheetId="3" hidden="1">CountryRisk!$A$4:$Z$171</definedName>
  </definedNames>
  <calcPr calcId="140001" concurrentCalc="0"/>
  <customWorkbookViews>
    <customWorkbookView name="Francis Murray - Personal View" guid="{B86257EE-0156-41F8-B4C2-E78E8DECB83A}" mergeInterval="0" personalView="1" maximized="1" xWindow="1912" yWindow="-8" windowWidth="1936" windowHeight="1056" activeSheetId="2"/>
    <customWorkbookView name="Vân Roetert - Personal View" guid="{033A95D0-94F2-0942-BC86-50E37364F610}" mergeInterval="0" personalView="1" xWindow="-1673" yWindow="54" windowWidth="1627" windowHeight="954" activeSheetId="4"/>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H17" i="2" l="1"/>
  <c r="H11" i="2"/>
  <c r="H12" i="2"/>
  <c r="G10" i="2"/>
  <c r="H14" i="2"/>
  <c r="H15" i="2"/>
  <c r="H16" i="2"/>
  <c r="H19" i="2"/>
  <c r="H20" i="2"/>
  <c r="H21" i="2"/>
  <c r="H23" i="2"/>
  <c r="H24" i="2"/>
  <c r="H25" i="2"/>
  <c r="H27" i="2"/>
  <c r="H28" i="2"/>
  <c r="H29" i="2"/>
  <c r="H31" i="2"/>
  <c r="H32" i="2"/>
  <c r="H33" i="2"/>
  <c r="H55" i="2"/>
  <c r="E43" i="2"/>
  <c r="F43" i="2"/>
  <c r="G43" i="2"/>
  <c r="H43" i="2"/>
  <c r="G44" i="2"/>
  <c r="F42" i="2"/>
  <c r="E42" i="2"/>
  <c r="G42" i="2"/>
  <c r="H42" i="2"/>
  <c r="F23" i="1"/>
  <c r="E23" i="1"/>
  <c r="H23" i="1"/>
  <c r="D23" i="1"/>
  <c r="I23" i="1"/>
  <c r="H11" i="1"/>
  <c r="H12" i="1"/>
  <c r="H13" i="1"/>
  <c r="H14" i="1"/>
  <c r="H24" i="1"/>
  <c r="H25" i="1"/>
  <c r="H15" i="1"/>
  <c r="H16" i="1"/>
  <c r="H17" i="1"/>
  <c r="H18" i="1"/>
  <c r="H19" i="1"/>
  <c r="H20" i="1"/>
  <c r="H21" i="1"/>
  <c r="H22" i="1"/>
  <c r="H26" i="1"/>
  <c r="G21" i="2"/>
  <c r="H52" i="2"/>
  <c r="G17" i="2"/>
  <c r="H51" i="2"/>
  <c r="F41" i="2"/>
  <c r="E41" i="2"/>
  <c r="G41" i="2"/>
  <c r="G12" i="2"/>
  <c r="Q40" i="4"/>
  <c r="R40" i="4"/>
  <c r="V40" i="4"/>
  <c r="AA40" i="4"/>
  <c r="AB40" i="4"/>
  <c r="S40" i="4"/>
  <c r="T40" i="4"/>
  <c r="Y40" i="4"/>
  <c r="H27" i="1"/>
  <c r="I7" i="1"/>
  <c r="F11" i="1"/>
  <c r="I12" i="1"/>
  <c r="I13" i="1"/>
  <c r="I14" i="1"/>
  <c r="I15" i="1"/>
  <c r="I16" i="1"/>
  <c r="I17" i="1"/>
  <c r="I18" i="1"/>
  <c r="I19" i="1"/>
  <c r="I20" i="1"/>
  <c r="I21" i="1"/>
  <c r="I22" i="1"/>
  <c r="I11" i="1"/>
  <c r="E4" i="6"/>
  <c r="E3" i="6"/>
  <c r="G29" i="2"/>
  <c r="H54" i="2"/>
  <c r="G33" i="2"/>
  <c r="Y11"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T154" i="4"/>
  <c r="T155" i="4"/>
  <c r="T156" i="4"/>
  <c r="T157" i="4"/>
  <c r="T158" i="4"/>
  <c r="T159" i="4"/>
  <c r="T160" i="4"/>
  <c r="T161" i="4"/>
  <c r="T162" i="4"/>
  <c r="T163" i="4"/>
  <c r="T164" i="4"/>
  <c r="T165" i="4"/>
  <c r="T166" i="4"/>
  <c r="T167" i="4"/>
  <c r="T168" i="4"/>
  <c r="T169" i="4"/>
  <c r="T170" i="4"/>
  <c r="T171" i="4"/>
  <c r="T172" i="4"/>
  <c r="T12" i="4"/>
  <c r="T13" i="4"/>
  <c r="T14" i="4"/>
  <c r="T15" i="4"/>
  <c r="T16" i="4"/>
  <c r="T17" i="4"/>
  <c r="T18" i="4"/>
  <c r="V18" i="4"/>
  <c r="AA18" i="4"/>
  <c r="AB18" i="4"/>
  <c r="T19" i="4"/>
  <c r="T20" i="4"/>
  <c r="T21" i="4"/>
  <c r="T22" i="4"/>
  <c r="T23" i="4"/>
  <c r="T24" i="4"/>
  <c r="T25" i="4"/>
  <c r="T26" i="4"/>
  <c r="T27" i="4"/>
  <c r="T28" i="4"/>
  <c r="T29" i="4"/>
  <c r="T30" i="4"/>
  <c r="T31" i="4"/>
  <c r="T32" i="4"/>
  <c r="T33" i="4"/>
  <c r="T34" i="4"/>
  <c r="V34" i="4"/>
  <c r="AA34" i="4"/>
  <c r="AB34" i="4"/>
  <c r="T35" i="4"/>
  <c r="T36" i="4"/>
  <c r="T37" i="4"/>
  <c r="T38" i="4"/>
  <c r="T39" i="4"/>
  <c r="T41" i="4"/>
  <c r="T42" i="4"/>
  <c r="V42" i="4"/>
  <c r="AA42" i="4"/>
  <c r="AB42" i="4"/>
  <c r="T43" i="4"/>
  <c r="U43" i="4"/>
  <c r="T11" i="4"/>
  <c r="T7" i="4"/>
  <c r="T8" i="4"/>
  <c r="T9" i="4"/>
  <c r="T10" i="4"/>
  <c r="T6" i="4"/>
  <c r="Y42" i="4"/>
  <c r="Y25" i="4"/>
  <c r="Y26" i="4"/>
  <c r="Y27" i="4"/>
  <c r="Y28" i="4"/>
  <c r="Y29" i="4"/>
  <c r="Y30" i="4"/>
  <c r="Y31" i="4"/>
  <c r="Y32" i="4"/>
  <c r="Y33" i="4"/>
  <c r="Y34" i="4"/>
  <c r="Y35" i="4"/>
  <c r="Y36" i="4"/>
  <c r="Y37" i="4"/>
  <c r="Y38" i="4"/>
  <c r="Y39" i="4"/>
  <c r="Y41" i="4"/>
  <c r="Y9" i="4"/>
  <c r="Y10" i="4"/>
  <c r="Y12" i="4"/>
  <c r="Y13" i="4"/>
  <c r="Y14" i="4"/>
  <c r="Y15" i="4"/>
  <c r="Y16" i="4"/>
  <c r="Y17" i="4"/>
  <c r="Y18" i="4"/>
  <c r="Y19" i="4"/>
  <c r="Y20" i="4"/>
  <c r="Y21" i="4"/>
  <c r="Y22" i="4"/>
  <c r="Y23" i="4"/>
  <c r="Y24" i="4"/>
  <c r="Y8" i="4"/>
  <c r="Y7" i="4"/>
  <c r="Y6" i="4"/>
  <c r="E7" i="2"/>
  <c r="G25" i="2"/>
  <c r="K9" i="2"/>
  <c r="S7" i="4"/>
  <c r="S8" i="4"/>
  <c r="U8" i="4"/>
  <c r="S9" i="4"/>
  <c r="S10" i="4"/>
  <c r="S11" i="4"/>
  <c r="S12" i="4"/>
  <c r="S13" i="4"/>
  <c r="S14" i="4"/>
  <c r="S15" i="4"/>
  <c r="S16" i="4"/>
  <c r="S17" i="4"/>
  <c r="S18" i="4"/>
  <c r="S19" i="4"/>
  <c r="S20" i="4"/>
  <c r="S21" i="4"/>
  <c r="S22" i="4"/>
  <c r="S23" i="4"/>
  <c r="S24" i="4"/>
  <c r="U24" i="4"/>
  <c r="S25" i="4"/>
  <c r="S26" i="4"/>
  <c r="S27" i="4"/>
  <c r="S28" i="4"/>
  <c r="S29" i="4"/>
  <c r="S30" i="4"/>
  <c r="S31" i="4"/>
  <c r="S32" i="4"/>
  <c r="S33" i="4"/>
  <c r="S34" i="4"/>
  <c r="S35" i="4"/>
  <c r="S36" i="4"/>
  <c r="S37" i="4"/>
  <c r="S38" i="4"/>
  <c r="S39" i="4"/>
  <c r="U39" i="4"/>
  <c r="S41" i="4"/>
  <c r="S42" i="4"/>
  <c r="S43" i="4"/>
  <c r="S6" i="4"/>
  <c r="F21" i="1"/>
  <c r="G55" i="2"/>
  <c r="E56" i="2"/>
  <c r="R6" i="4"/>
  <c r="Q6" i="4"/>
  <c r="F12" i="1"/>
  <c r="H4" i="1"/>
  <c r="R7" i="4"/>
  <c r="R8" i="4"/>
  <c r="R9" i="4"/>
  <c r="V9" i="4"/>
  <c r="R10" i="4"/>
  <c r="U10" i="4"/>
  <c r="R11" i="4"/>
  <c r="R12" i="4"/>
  <c r="R13" i="4"/>
  <c r="R14" i="4"/>
  <c r="R15" i="4"/>
  <c r="V15" i="4"/>
  <c r="AA15" i="4"/>
  <c r="AB15" i="4"/>
  <c r="R16" i="4"/>
  <c r="R17" i="4"/>
  <c r="V17" i="4"/>
  <c r="AA17" i="4"/>
  <c r="AB17" i="4"/>
  <c r="R18" i="4"/>
  <c r="R19" i="4"/>
  <c r="U19" i="4"/>
  <c r="R20" i="4"/>
  <c r="R21" i="4"/>
  <c r="R22" i="4"/>
  <c r="R23" i="4"/>
  <c r="V23" i="4"/>
  <c r="AA23" i="4"/>
  <c r="R24" i="4"/>
  <c r="R25" i="4"/>
  <c r="U25" i="4"/>
  <c r="R26" i="4"/>
  <c r="R27" i="4"/>
  <c r="R28" i="4"/>
  <c r="R29" i="4"/>
  <c r="R30" i="4"/>
  <c r="R31" i="4"/>
  <c r="R32" i="4"/>
  <c r="R33" i="4"/>
  <c r="R34" i="4"/>
  <c r="R35" i="4"/>
  <c r="R36" i="4"/>
  <c r="R37" i="4"/>
  <c r="R38" i="4"/>
  <c r="R39" i="4"/>
  <c r="V39" i="4"/>
  <c r="AA39" i="4"/>
  <c r="AB39" i="4"/>
  <c r="R41" i="4"/>
  <c r="R42" i="4"/>
  <c r="U42" i="4"/>
  <c r="R43" i="4"/>
  <c r="Q7" i="4"/>
  <c r="Q8" i="4"/>
  <c r="Q9" i="4"/>
  <c r="Q10" i="4"/>
  <c r="V10" i="4"/>
  <c r="AA10" i="4"/>
  <c r="Q11" i="4"/>
  <c r="Q12" i="4"/>
  <c r="V12" i="4"/>
  <c r="AA12" i="4"/>
  <c r="AB12" i="4"/>
  <c r="Q13" i="4"/>
  <c r="V13" i="4"/>
  <c r="AA13" i="4"/>
  <c r="AB13" i="4"/>
  <c r="Q14" i="4"/>
  <c r="U14" i="4"/>
  <c r="V14" i="4"/>
  <c r="AA14" i="4"/>
  <c r="AB14" i="4"/>
  <c r="Q15" i="4"/>
  <c r="Q16" i="4"/>
  <c r="Q17" i="4"/>
  <c r="U17" i="4"/>
  <c r="Q18" i="4"/>
  <c r="Q19" i="4"/>
  <c r="V19" i="4"/>
  <c r="AA19" i="4"/>
  <c r="AB19" i="4"/>
  <c r="Q20" i="4"/>
  <c r="U20" i="4"/>
  <c r="Q21" i="4"/>
  <c r="V21" i="4"/>
  <c r="AA21" i="4"/>
  <c r="AB21" i="4"/>
  <c r="Q22" i="4"/>
  <c r="V22" i="4"/>
  <c r="AA22" i="4"/>
  <c r="AB22" i="4"/>
  <c r="Q23" i="4"/>
  <c r="Q24" i="4"/>
  <c r="Q25" i="4"/>
  <c r="Q26" i="4"/>
  <c r="Q27" i="4"/>
  <c r="Q28" i="4"/>
  <c r="V28" i="4"/>
  <c r="AA28" i="4"/>
  <c r="AB28" i="4"/>
  <c r="Q29" i="4"/>
  <c r="V29" i="4"/>
  <c r="AA29" i="4"/>
  <c r="AB29" i="4"/>
  <c r="Q30" i="4"/>
  <c r="Q31" i="4"/>
  <c r="Q32" i="4"/>
  <c r="Q33" i="4"/>
  <c r="Q34" i="4"/>
  <c r="Q35" i="4"/>
  <c r="U35" i="4"/>
  <c r="Q36" i="4"/>
  <c r="V36" i="4"/>
  <c r="AA36" i="4"/>
  <c r="AB36" i="4"/>
  <c r="Q37" i="4"/>
  <c r="V37" i="4"/>
  <c r="AA37" i="4"/>
  <c r="AB37" i="4"/>
  <c r="Q38" i="4"/>
  <c r="Q39" i="4"/>
  <c r="Q41" i="4"/>
  <c r="Q42" i="4"/>
  <c r="Q43" i="4"/>
  <c r="F56" i="2"/>
  <c r="F55" i="2"/>
  <c r="E55" i="2"/>
  <c r="U40" i="4"/>
  <c r="V33" i="4"/>
  <c r="U22" i="4"/>
  <c r="U13" i="4"/>
  <c r="V25" i="4"/>
  <c r="U36" i="4"/>
  <c r="U28" i="4"/>
  <c r="U12" i="4"/>
  <c r="V31" i="4"/>
  <c r="AA31" i="4"/>
  <c r="AB31" i="4"/>
  <c r="U23" i="4"/>
  <c r="V20" i="4"/>
  <c r="U33" i="4"/>
  <c r="U31" i="4"/>
  <c r="AB23" i="4"/>
  <c r="AB10" i="4"/>
  <c r="AA20" i="4"/>
  <c r="AB20" i="4"/>
  <c r="H41" i="2"/>
  <c r="H50" i="2"/>
  <c r="G51" i="2"/>
  <c r="G56" i="2"/>
  <c r="G53" i="2"/>
  <c r="K8" i="2"/>
  <c r="I55" i="2"/>
  <c r="L3" i="2"/>
  <c r="L6" i="2"/>
  <c r="AA33" i="4"/>
  <c r="AB33" i="4"/>
  <c r="V38" i="4"/>
  <c r="AA38" i="4"/>
  <c r="AB38" i="4"/>
  <c r="U38" i="4"/>
  <c r="U30" i="4"/>
  <c r="V30" i="4"/>
  <c r="AA30" i="4"/>
  <c r="AB30" i="4"/>
  <c r="V7" i="4"/>
  <c r="AA7" i="4"/>
  <c r="AB7" i="4"/>
  <c r="U7" i="4"/>
  <c r="U27" i="4"/>
  <c r="V27" i="4"/>
  <c r="AA27" i="4"/>
  <c r="AB27" i="4"/>
  <c r="V11" i="4"/>
  <c r="AA11" i="4"/>
  <c r="AB11" i="4"/>
  <c r="U11" i="4"/>
  <c r="U6" i="4"/>
  <c r="V6" i="4"/>
  <c r="AA6" i="4"/>
  <c r="AB6" i="4"/>
  <c r="I54" i="2"/>
  <c r="J54" i="2"/>
  <c r="U34" i="4"/>
  <c r="V26" i="4"/>
  <c r="AA26" i="4"/>
  <c r="AB26" i="4"/>
  <c r="U18" i="4"/>
  <c r="AA9" i="4"/>
  <c r="AB9" i="4"/>
  <c r="U41" i="4"/>
  <c r="V41" i="4"/>
  <c r="AA41" i="4"/>
  <c r="AB41" i="4"/>
  <c r="V24" i="4"/>
  <c r="AA24" i="4"/>
  <c r="AB24" i="4"/>
  <c r="U16" i="4"/>
  <c r="V8" i="4"/>
  <c r="AA8" i="4"/>
  <c r="AB8" i="4"/>
  <c r="I52" i="2"/>
  <c r="V32" i="4"/>
  <c r="AA32" i="4"/>
  <c r="AB32" i="4"/>
  <c r="U32" i="4"/>
  <c r="AA25" i="4"/>
  <c r="AB25" i="4"/>
  <c r="V43" i="4"/>
  <c r="AA43" i="4"/>
  <c r="AB43" i="4"/>
  <c r="U26" i="4"/>
  <c r="K6" i="2"/>
  <c r="V35" i="4"/>
  <c r="AA35" i="4"/>
  <c r="AB35" i="4"/>
  <c r="U37" i="4"/>
  <c r="K3" i="2"/>
  <c r="U21" i="4"/>
  <c r="U29" i="4"/>
  <c r="U9" i="4"/>
  <c r="V16" i="4"/>
  <c r="AA16" i="4"/>
  <c r="AB16" i="4"/>
  <c r="U15" i="4"/>
  <c r="H44" i="2"/>
  <c r="H56" i="2"/>
  <c r="I50" i="2"/>
  <c r="I51" i="2"/>
  <c r="J6" i="2"/>
  <c r="J3" i="2"/>
  <c r="H53" i="2"/>
  <c r="I56" i="2"/>
  <c r="I53" i="2"/>
  <c r="I57" i="2"/>
  <c r="K7" i="2"/>
  <c r="L4" i="2"/>
  <c r="J4" i="2"/>
  <c r="K4" i="2"/>
  <c r="K5" i="2"/>
  <c r="J5" i="2"/>
  <c r="I58" i="2"/>
  <c r="L10" i="2"/>
  <c r="L5" i="2"/>
</calcChain>
</file>

<file path=xl/comments1.xml><?xml version="1.0" encoding="utf-8"?>
<comments xmlns="http://schemas.openxmlformats.org/spreadsheetml/2006/main">
  <authors>
    <author>Francis Murray</author>
  </authors>
  <commentList>
    <comment ref="C23" authorId="0">
      <text>
        <r>
          <rPr>
            <b/>
            <sz val="9"/>
            <color indexed="81"/>
            <rFont val="Tahoma"/>
            <family val="2"/>
          </rPr>
          <t>Francis Murray:</t>
        </r>
        <r>
          <rPr>
            <sz val="9"/>
            <color indexed="81"/>
            <rFont val="Tahoma"/>
            <family val="2"/>
          </rPr>
          <t xml:space="preserve">
Default L M H risk scores = 5 (L), 10 (M), 15 (H)</t>
        </r>
      </text>
    </comment>
  </commentList>
</comments>
</file>

<file path=xl/comments2.xml><?xml version="1.0" encoding="utf-8"?>
<comments xmlns="http://schemas.openxmlformats.org/spreadsheetml/2006/main">
  <authors>
    <author>Vân Roetert</author>
  </authors>
  <commentList>
    <comment ref="C17" authorId="0">
      <text>
        <r>
          <rPr>
            <b/>
            <sz val="9"/>
            <color indexed="81"/>
            <rFont val="Calibri"/>
            <family val="2"/>
          </rPr>
          <t>ASC:</t>
        </r>
        <r>
          <rPr>
            <sz val="9"/>
            <color indexed="81"/>
            <rFont val="Calibri"/>
            <family val="2"/>
          </rPr>
          <t xml:space="preserve">
</t>
        </r>
        <r>
          <rPr>
            <b/>
            <sz val="9"/>
            <color indexed="81"/>
            <rFont val="Calibri"/>
            <family val="2"/>
          </rPr>
          <t>Low</t>
        </r>
        <r>
          <rPr>
            <sz val="9"/>
            <color indexed="81"/>
            <rFont val="Calibri"/>
            <family val="2"/>
          </rPr>
          <t xml:space="preserve"> = &lt;20% of total hired workers
</t>
        </r>
        <r>
          <rPr>
            <b/>
            <sz val="9"/>
            <color indexed="81"/>
            <rFont val="Calibri"/>
            <family val="2"/>
          </rPr>
          <t>Medium</t>
        </r>
        <r>
          <rPr>
            <sz val="9"/>
            <color indexed="81"/>
            <rFont val="Calibri"/>
            <family val="2"/>
          </rPr>
          <t xml:space="preserve"> = &gt;20%&lt;50% of total hired workers
</t>
        </r>
        <r>
          <rPr>
            <b/>
            <sz val="9"/>
            <color indexed="81"/>
            <rFont val="Calibri"/>
            <family val="2"/>
          </rPr>
          <t>High</t>
        </r>
        <r>
          <rPr>
            <sz val="9"/>
            <color indexed="81"/>
            <rFont val="Calibri"/>
            <family val="2"/>
          </rPr>
          <t xml:space="preserve"> = &gt; 50% of total hired workers</t>
        </r>
      </text>
    </comment>
  </commentList>
</comments>
</file>

<file path=xl/comments3.xml><?xml version="1.0" encoding="utf-8"?>
<comments xmlns="http://schemas.openxmlformats.org/spreadsheetml/2006/main">
  <authors>
    <author>Aimee</author>
    <author>Francis Murray</author>
    <author>Vân Roetert</author>
  </authors>
  <commentList>
    <comment ref="D9" authorId="0">
      <text>
        <r>
          <rPr>
            <b/>
            <sz val="9"/>
            <color indexed="81"/>
            <rFont val="Tahoma"/>
            <family val="2"/>
          </rPr>
          <t>Aimee:</t>
        </r>
        <r>
          <rPr>
            <sz val="9"/>
            <color indexed="81"/>
            <rFont val="Tahoma"/>
            <family val="2"/>
          </rPr>
          <t xml:space="preserve">
Marcelo: what about SEDEX, ETI, SMETA, etc - need to be clear WHY these don’t lower risk
</t>
        </r>
      </text>
    </comment>
    <comment ref="K9" authorId="0">
      <text>
        <r>
          <rPr>
            <b/>
            <sz val="9"/>
            <color indexed="81"/>
            <rFont val="Tahoma"/>
            <family val="2"/>
          </rPr>
          <t>Aimee:</t>
        </r>
        <r>
          <rPr>
            <sz val="9"/>
            <color indexed="81"/>
            <rFont val="Tahoma"/>
            <family val="2"/>
          </rPr>
          <t xml:space="preserve">
Marcelo: what about SEDEX, ETI, SMETA, etc - need to be clear WHY these don’t lower risk
</t>
        </r>
      </text>
    </comment>
    <comment ref="D11" authorId="1">
      <text>
        <r>
          <rPr>
            <b/>
            <sz val="9"/>
            <color indexed="81"/>
            <rFont val="Tahoma"/>
            <family val="2"/>
          </rPr>
          <t>Francis Murray:</t>
        </r>
        <r>
          <rPr>
            <sz val="9"/>
            <color indexed="81"/>
            <rFont val="Tahoma"/>
            <family val="2"/>
          </rPr>
          <t xml:space="preserve">
&amp; no labour contractors?</t>
        </r>
      </text>
    </comment>
    <comment ref="E13" authorId="2">
      <text>
        <r>
          <rPr>
            <b/>
            <sz val="9"/>
            <color indexed="81"/>
            <rFont val="Calibri"/>
            <family val="2"/>
          </rPr>
          <t>Vân Roetert:</t>
        </r>
        <r>
          <rPr>
            <sz val="9"/>
            <color indexed="81"/>
            <rFont val="Calibri"/>
            <family val="2"/>
          </rPr>
          <t xml:space="preserve">
Just leave this as is, we have to see what turn up in this P7</t>
        </r>
      </text>
    </comment>
    <comment ref="H13" authorId="2">
      <text>
        <r>
          <rPr>
            <b/>
            <sz val="9"/>
            <color indexed="81"/>
            <rFont val="Calibri"/>
            <family val="2"/>
          </rPr>
          <t>Vân Roetert:</t>
        </r>
        <r>
          <rPr>
            <sz val="9"/>
            <color indexed="81"/>
            <rFont val="Calibri"/>
            <family val="2"/>
          </rPr>
          <t xml:space="preserve">
Only for this principle and video conference if needed. Very much dependient on content of P7</t>
        </r>
      </text>
    </comment>
    <comment ref="E16" authorId="2">
      <text>
        <r>
          <rPr>
            <b/>
            <sz val="9"/>
            <color indexed="81"/>
            <rFont val="Calibri"/>
            <family val="2"/>
          </rPr>
          <t>Vân Roetert:</t>
        </r>
        <r>
          <rPr>
            <sz val="9"/>
            <color indexed="81"/>
            <rFont val="Calibri"/>
            <family val="2"/>
          </rPr>
          <t xml:space="preserve">
Some issues in some countries can be skipped, but not in call low-risk countries. E.g. in Norway, the minimum wage would not be a problem, and it is so obvious, so there is no need to spend efforts for auditors to audit such indicators. Not sure how to incorporate this in here.
</t>
        </r>
      </text>
    </comment>
    <comment ref="D22" authorId="2">
      <text>
        <r>
          <rPr>
            <b/>
            <sz val="9"/>
            <color indexed="81"/>
            <rFont val="Calibri"/>
            <family val="2"/>
          </rPr>
          <t>Vân Roetert:</t>
        </r>
        <r>
          <rPr>
            <sz val="9"/>
            <color indexed="81"/>
            <rFont val="Calibri"/>
            <family val="2"/>
          </rPr>
          <t xml:space="preserve">
Here we may need to define subcontractors. The intent here is to make sure that subcontractors' people are protected just as of UoC and operations are safe, etc.
In salmon, divers and net cleaners are mainly subcontracted but they do the job on-site at the UoC.
in processing, a factory may subcontract another factory to process their product, and that will be done off-site of the UoC. In CoC audit, the CoC auditor may go to the subcontractor for CoC audit. 
may=must</t>
        </r>
      </text>
    </comment>
    <comment ref="K22" authorId="2">
      <text>
        <r>
          <rPr>
            <b/>
            <sz val="9"/>
            <color indexed="81"/>
            <rFont val="Calibri"/>
            <family val="2"/>
          </rPr>
          <t>Vân Roetert:</t>
        </r>
        <r>
          <rPr>
            <sz val="9"/>
            <color indexed="81"/>
            <rFont val="Calibri"/>
            <family val="2"/>
          </rPr>
          <t xml:space="preserve">
Here we may need to define subcontractors. The intent here is to make sure that subcontractors' people are protected just as of UoC and operations are safe, etc.
In salmon, divers and net cleaners are mainly subcontracted but they do the job on-site at the UoC.
in processing, a factory may subcontract another factory to process their product, and that will be done off-site of the UoC. In CoC audit, the CoC auditor may go to the subcontractor for CoC audit. 
may=must</t>
        </r>
      </text>
    </comment>
  </commentList>
</comments>
</file>

<file path=xl/comments4.xml><?xml version="1.0" encoding="utf-8"?>
<comments xmlns="http://schemas.openxmlformats.org/spreadsheetml/2006/main">
  <authors>
    <author>Vân Roetert</author>
    <author>Francis Murray</author>
  </authors>
  <commentList>
    <comment ref="T5" authorId="0">
      <text>
        <r>
          <rPr>
            <b/>
            <sz val="9"/>
            <color indexed="81"/>
            <rFont val="Calibri"/>
            <family val="2"/>
          </rPr>
          <t>Vân Roetert:</t>
        </r>
        <r>
          <rPr>
            <sz val="9"/>
            <color indexed="81"/>
            <rFont val="Calibri"/>
            <family val="2"/>
          </rPr>
          <t xml:space="preserve">
Please attention to this column, this is rated the other way round. Like IMF rating, A is good and C is less. So BBB islower risk and lowested in the column L, whereas CCC is highest.
So I am fine with 
BBB =1
BB-B = 2 
C-CCC=3</t>
        </r>
        <r>
          <rPr>
            <b/>
            <sz val="9"/>
            <color indexed="81"/>
            <rFont val="Calibri"/>
            <family val="2"/>
          </rPr>
          <t>Vân Roetert:</t>
        </r>
        <r>
          <rPr>
            <sz val="9"/>
            <color indexed="81"/>
            <rFont val="Calibri"/>
            <family val="2"/>
          </rPr>
          <t xml:space="preserve">
A-&gt;BBB=1
</t>
        </r>
      </text>
    </comment>
    <comment ref="W5" authorId="0">
      <text>
        <r>
          <rPr>
            <b/>
            <sz val="9"/>
            <color indexed="81"/>
            <rFont val="Calibri"/>
            <family val="2"/>
          </rPr>
          <t>Vân Roetert:</t>
        </r>
        <r>
          <rPr>
            <sz val="9"/>
            <color indexed="81"/>
            <rFont val="Calibri"/>
            <family val="2"/>
          </rPr>
          <t xml:space="preserve">
This will be in narrative but until we can extract data from audit reports, it is empty, and we will say that this social risk table will be updated on a regular basis anyway, taking into account the updated WGI, which will be released in a couple of weeks and hopefully SA8000 will update their rating timely as well.
</t>
        </r>
      </text>
    </comment>
    <comment ref="Y5" authorId="0">
      <text>
        <r>
          <rPr>
            <b/>
            <sz val="9"/>
            <color indexed="81"/>
            <rFont val="Calibri"/>
            <family val="2"/>
          </rPr>
          <t>Vân Roetert:</t>
        </r>
        <r>
          <rPr>
            <sz val="9"/>
            <color indexed="81"/>
            <rFont val="Calibri"/>
            <family val="2"/>
          </rPr>
          <t xml:space="preserve">
We do not have this for all countries at the moment. This is very much linked to the column W - so once data on NCs is available, we will take this precautious approach to assign values to certain countries - e.g. Norway, we would say 1.2 iinstead of 1 as it is rated everywhere, because of the number of NCs raised in all audit reports for social indicators so far. Next to it, we will also give ASC specific issues in column Z. Take Norway as an example, we will say health and safety issues on the barges (farms).</t>
        </r>
      </text>
    </comment>
    <comment ref="AA5" authorId="0">
      <text>
        <r>
          <rPr>
            <b/>
            <sz val="9"/>
            <color indexed="81"/>
            <rFont val="Calibri"/>
            <family val="2"/>
          </rPr>
          <t>Vân Roetert:</t>
        </r>
        <r>
          <rPr>
            <sz val="9"/>
            <color indexed="81"/>
            <rFont val="Calibri"/>
            <family val="2"/>
          </rPr>
          <t xml:space="preserve">
It is fine to have the mean of external and ASC precautionary rating. A question though, in case ASC does not assign a value to a country, would it make sense to just take over the external mean?
</t>
        </r>
      </text>
    </comment>
    <comment ref="J26" authorId="1">
      <text>
        <r>
          <rPr>
            <b/>
            <sz val="9"/>
            <color indexed="81"/>
            <rFont val="Tahoma"/>
            <family val="2"/>
          </rPr>
          <t>Francis Murray:</t>
        </r>
        <r>
          <rPr>
            <sz val="9"/>
            <color indexed="81"/>
            <rFont val="Tahoma"/>
            <family val="2"/>
          </rPr>
          <t xml:space="preserve">
Tier 2 watch list</t>
        </r>
      </text>
    </comment>
    <comment ref="J29" authorId="1">
      <text>
        <r>
          <rPr>
            <b/>
            <sz val="9"/>
            <color indexed="81"/>
            <rFont val="Tahoma"/>
            <family val="2"/>
          </rPr>
          <t>Francis Murray:</t>
        </r>
        <r>
          <rPr>
            <sz val="9"/>
            <color indexed="81"/>
            <rFont val="Tahoma"/>
            <family val="2"/>
          </rPr>
          <t xml:space="preserve">
Tier 2 watch list</t>
        </r>
      </text>
    </comment>
    <comment ref="J39" authorId="1">
      <text>
        <r>
          <rPr>
            <b/>
            <sz val="9"/>
            <color indexed="81"/>
            <rFont val="Tahoma"/>
            <family val="2"/>
          </rPr>
          <t>Francis Murray:</t>
        </r>
        <r>
          <rPr>
            <sz val="9"/>
            <color indexed="81"/>
            <rFont val="Tahoma"/>
            <family val="2"/>
          </rPr>
          <t xml:space="preserve">
Tier 2 watch list</t>
        </r>
      </text>
    </comment>
  </commentList>
</comments>
</file>

<file path=xl/comments5.xml><?xml version="1.0" encoding="utf-8"?>
<comments xmlns="http://schemas.openxmlformats.org/spreadsheetml/2006/main">
  <authors>
    <author>Francis Murray</author>
  </authors>
  <commentList>
    <comment ref="I3" authorId="0">
      <text>
        <r>
          <rPr>
            <b/>
            <sz val="9"/>
            <color indexed="81"/>
            <rFont val="Tahoma"/>
            <family val="2"/>
          </rPr>
          <t>Francis Murray:</t>
        </r>
        <r>
          <rPr>
            <sz val="9"/>
            <color indexed="81"/>
            <rFont val="Tahoma"/>
            <family val="2"/>
          </rPr>
          <t xml:space="preserve">
Default setting = 11 (&amp; SQRT)
</t>
        </r>
      </text>
    </comment>
    <comment ref="I4" authorId="0">
      <text>
        <r>
          <rPr>
            <b/>
            <sz val="9"/>
            <color indexed="81"/>
            <rFont val="Tahoma"/>
            <family val="2"/>
          </rPr>
          <t>Francis Murray:</t>
        </r>
        <r>
          <rPr>
            <sz val="9"/>
            <color indexed="81"/>
            <rFont val="Tahoma"/>
            <family val="2"/>
          </rPr>
          <t xml:space="preserve">
Default setting = 66 (&amp; SQRT)
</t>
        </r>
      </text>
    </comment>
    <comment ref="I5" authorId="0">
      <text>
        <r>
          <rPr>
            <b/>
            <sz val="9"/>
            <color indexed="81"/>
            <rFont val="Tahoma"/>
            <family val="2"/>
          </rPr>
          <t>Francis Murray:</t>
        </r>
        <r>
          <rPr>
            <sz val="9"/>
            <color indexed="81"/>
            <rFont val="Tahoma"/>
            <family val="2"/>
          </rPr>
          <t xml:space="preserve">
Default value = 2 (i.e. SQRT)</t>
        </r>
      </text>
    </comment>
  </commentList>
</comments>
</file>

<file path=xl/sharedStrings.xml><?xml version="1.0" encoding="utf-8"?>
<sst xmlns="http://schemas.openxmlformats.org/spreadsheetml/2006/main" count="1140" uniqueCount="641">
  <si>
    <t>YES</t>
  </si>
  <si>
    <t>NO</t>
  </si>
  <si>
    <t>HIGH</t>
  </si>
  <si>
    <t>MEDIUM</t>
  </si>
  <si>
    <t>LOW</t>
  </si>
  <si>
    <t>Low</t>
  </si>
  <si>
    <t>Medium</t>
  </si>
  <si>
    <t>High</t>
  </si>
  <si>
    <t>Risk criteria</t>
  </si>
  <si>
    <t>Complaints resolution weakness</t>
  </si>
  <si>
    <t>SN</t>
  </si>
  <si>
    <t>Risk Weight</t>
  </si>
  <si>
    <t>Select from drop-down options in orange boxes</t>
  </si>
  <si>
    <t>Root exponent</t>
  </si>
  <si>
    <t>Red text - formula fields (non-modifiable)</t>
  </si>
  <si>
    <t>Risk Rank</t>
  </si>
  <si>
    <t>Fish2010</t>
  </si>
  <si>
    <t>Audit Cycle</t>
  </si>
  <si>
    <t>Initial</t>
  </si>
  <si>
    <t xml:space="preserve">Sum of risk scores (SRS)  </t>
  </si>
  <si>
    <t xml:space="preserve">Risk Correction Factor (RCF)  </t>
  </si>
  <si>
    <t>Seafish scope</t>
  </si>
  <si>
    <t>Country/Territory</t>
  </si>
  <si>
    <t>VOICE AND ACCOUNTABILITY</t>
  </si>
  <si>
    <t>POLITICAL STABILITY AND VIOLENCE</t>
  </si>
  <si>
    <t>GOVERNMENT EFFECTIVENESS</t>
  </si>
  <si>
    <t>REGULATORY AUTHORITY</t>
  </si>
  <si>
    <t xml:space="preserve">RULE OF LAW </t>
  </si>
  <si>
    <t>CONTROL OF CORRUPTION</t>
  </si>
  <si>
    <t>Avg. WGI % Rank</t>
  </si>
  <si>
    <t>WGI Risk Level for SA8000 System
last updated 2014</t>
  </si>
  <si>
    <t>Traffic in persons   (see Guide)</t>
  </si>
  <si>
    <t>Corruption Perception Index</t>
  </si>
  <si>
    <t>CPI Normalized</t>
  </si>
  <si>
    <t>Global Slavery Index 2018</t>
  </si>
  <si>
    <t>Global Slavery Index normalised</t>
  </si>
  <si>
    <t>SEAFISH country profile</t>
  </si>
  <si>
    <t>Seafish normalisation</t>
  </si>
  <si>
    <t>Seafish issues</t>
  </si>
  <si>
    <t>ASC specific issues: product, species, sector</t>
  </si>
  <si>
    <t>WGI  Risk level for BSCI</t>
  </si>
  <si>
    <t>Australia</t>
  </si>
  <si>
    <t>Tier 1</t>
  </si>
  <si>
    <t>BBB</t>
  </si>
  <si>
    <t>Low risk</t>
  </si>
  <si>
    <t>Belize</t>
  </si>
  <si>
    <t>Tier 3</t>
  </si>
  <si>
    <t>High risk</t>
  </si>
  <si>
    <t>Brazil</t>
  </si>
  <si>
    <t>Tier 2</t>
  </si>
  <si>
    <t>BB</t>
  </si>
  <si>
    <t>Canada</t>
  </si>
  <si>
    <t>Chile</t>
  </si>
  <si>
    <t>low to medium</t>
  </si>
  <si>
    <t>substandard employment conditions due to use of temporary worker, especially in salmon (recruitment, contracting system, wages)</t>
  </si>
  <si>
    <t>China</t>
  </si>
  <si>
    <t>CC</t>
  </si>
  <si>
    <t>long working hours (in processing)</t>
  </si>
  <si>
    <t>voice, traffiking</t>
  </si>
  <si>
    <t>Colombia</t>
  </si>
  <si>
    <t>B</t>
  </si>
  <si>
    <t>low raising to medium</t>
  </si>
  <si>
    <t xml:space="preserve">potential forced labour, labour conditions in aqua and feed </t>
  </si>
  <si>
    <t>Costa Rica</t>
  </si>
  <si>
    <t>Denmark</t>
  </si>
  <si>
    <t>Ecuador</t>
  </si>
  <si>
    <t>high</t>
  </si>
  <si>
    <t>large incidence of forced and bonded labour, migrant orkers, labour conditions and recruitment process in processing</t>
  </si>
  <si>
    <t>France</t>
  </si>
  <si>
    <t>Germany</t>
  </si>
  <si>
    <t>Greece</t>
  </si>
  <si>
    <t>Honduras</t>
  </si>
  <si>
    <t>CCC</t>
  </si>
  <si>
    <t>Iceland</t>
  </si>
  <si>
    <t>India</t>
  </si>
  <si>
    <t>Indonesia</t>
  </si>
  <si>
    <t>medium</t>
  </si>
  <si>
    <t>Only fisheries</t>
  </si>
  <si>
    <t>Ireland</t>
  </si>
  <si>
    <t>Italy</t>
  </si>
  <si>
    <t>Japan</t>
  </si>
  <si>
    <t>Madagascar</t>
  </si>
  <si>
    <t>Malaysia</t>
  </si>
  <si>
    <t>Mexico</t>
  </si>
  <si>
    <t>Nicaragua</t>
  </si>
  <si>
    <t>Norway</t>
  </si>
  <si>
    <t>New Zealand</t>
  </si>
  <si>
    <t>low</t>
  </si>
  <si>
    <t>Panama</t>
  </si>
  <si>
    <t>Peru</t>
  </si>
  <si>
    <t>Poland</t>
  </si>
  <si>
    <t>South Africa</t>
  </si>
  <si>
    <t>contractual arrangements and conditions</t>
  </si>
  <si>
    <t>Spain</t>
  </si>
  <si>
    <t>Turkey</t>
  </si>
  <si>
    <t>Taiwan, China</t>
  </si>
  <si>
    <t>migrant workers, labour brokage system</t>
  </si>
  <si>
    <t>Thailand</t>
  </si>
  <si>
    <t>migrant exploitation, trafficking, forced, slavery like labour</t>
  </si>
  <si>
    <t>more on fisheries</t>
  </si>
  <si>
    <t>United Kingdom</t>
  </si>
  <si>
    <t>United States</t>
  </si>
  <si>
    <t>contractual and employment conditions in processing factories, especially where seasonal workers are present</t>
  </si>
  <si>
    <t>Vietnam</t>
  </si>
  <si>
    <t>medium to low</t>
  </si>
  <si>
    <t>employment conditions, esepcially wage levels, working hours in both aqua and processing</t>
  </si>
  <si>
    <t>Netherlands</t>
  </si>
  <si>
    <t>http://info.worldbank.org/governance/wgi/#home</t>
  </si>
  <si>
    <t>A</t>
  </si>
  <si>
    <t>Sweden</t>
  </si>
  <si>
    <t>http://www.saasaccreditation.org/CountryRiskAssessment</t>
  </si>
  <si>
    <t>Belgium</t>
  </si>
  <si>
    <t>ASI list of countries ASC and RSPO</t>
  </si>
  <si>
    <t>Croatia</t>
  </si>
  <si>
    <t>http://www.bsci-intl.org/sites/default/files/countries_risk_classification_final_version_20140109.pdf</t>
  </si>
  <si>
    <t>Portugal</t>
  </si>
  <si>
    <t>www.transparency.org</t>
  </si>
  <si>
    <t>Montenegro</t>
  </si>
  <si>
    <t xml:space="preserve">https://www.state.gov/documents/organization/271339.pdf </t>
  </si>
  <si>
    <t>Cyprus</t>
  </si>
  <si>
    <t>Mentenegro (previous Yugoslavia</t>
  </si>
  <si>
    <t>Austria</t>
  </si>
  <si>
    <t>Georgia</t>
  </si>
  <si>
    <t>Argentina</t>
  </si>
  <si>
    <t>Serbia</t>
  </si>
  <si>
    <t>Latvia</t>
  </si>
  <si>
    <t>Swtizerland</t>
  </si>
  <si>
    <t>Albania</t>
  </si>
  <si>
    <t>Slovenia</t>
  </si>
  <si>
    <t>Lithuana</t>
  </si>
  <si>
    <t>Jamaica</t>
  </si>
  <si>
    <t>Hungary</t>
  </si>
  <si>
    <t>Dominican Republic</t>
  </si>
  <si>
    <t>Finland</t>
  </si>
  <si>
    <t>Bulgaria</t>
  </si>
  <si>
    <t>Philippines</t>
  </si>
  <si>
    <t>Moldovia</t>
  </si>
  <si>
    <t>Kosovo</t>
  </si>
  <si>
    <t>Armenia</t>
  </si>
  <si>
    <t>Slovakia</t>
  </si>
  <si>
    <t>Ukraine</t>
  </si>
  <si>
    <t>Czech Republic</t>
  </si>
  <si>
    <t>Israel</t>
  </si>
  <si>
    <t>Uruguay</t>
  </si>
  <si>
    <t>Trinidad and Tobago</t>
  </si>
  <si>
    <t>Estonia</t>
  </si>
  <si>
    <t>Bosnia</t>
  </si>
  <si>
    <t>Azerbaijan</t>
  </si>
  <si>
    <t>United Arab Emirates</t>
  </si>
  <si>
    <t>Senegal</t>
  </si>
  <si>
    <t>Sierra Leone</t>
  </si>
  <si>
    <t>Nigeria</t>
  </si>
  <si>
    <t>Luxemburg</t>
  </si>
  <si>
    <t>Bangladesh</t>
  </si>
  <si>
    <t>Tunisia</t>
  </si>
  <si>
    <t>Romania</t>
  </si>
  <si>
    <t>Côte d'Ivoire</t>
  </si>
  <si>
    <t>Uganda</t>
  </si>
  <si>
    <t>Bolivia</t>
  </si>
  <si>
    <t>Kyrgyzstan</t>
  </si>
  <si>
    <t>Paraguay</t>
  </si>
  <si>
    <t>Mozambique</t>
  </si>
  <si>
    <t>Belarus</t>
  </si>
  <si>
    <t>Egypt</t>
  </si>
  <si>
    <t>Haiti</t>
  </si>
  <si>
    <t>Barbados</t>
  </si>
  <si>
    <t>Nepal</t>
  </si>
  <si>
    <t>Jordan</t>
  </si>
  <si>
    <t>Lesotho</t>
  </si>
  <si>
    <t>Benin</t>
  </si>
  <si>
    <t>Cambodia</t>
  </si>
  <si>
    <t>El Salvador</t>
  </si>
  <si>
    <t>Sri Lanka</t>
  </si>
  <si>
    <t>Morocco</t>
  </si>
  <si>
    <t>Kenya</t>
  </si>
  <si>
    <t>Algeria</t>
  </si>
  <si>
    <t>Ehiopia</t>
  </si>
  <si>
    <t>Burkina Faso</t>
  </si>
  <si>
    <t>Qatar</t>
  </si>
  <si>
    <t>Djibouti</t>
  </si>
  <si>
    <t>Mauritius</t>
  </si>
  <si>
    <t>Laos</t>
  </si>
  <si>
    <t>Gambia</t>
  </si>
  <si>
    <t>Rwanda</t>
  </si>
  <si>
    <t>Namibia</t>
  </si>
  <si>
    <t>Botswana</t>
  </si>
  <si>
    <t>Tajikistan</t>
  </si>
  <si>
    <t>Kazakhstan</t>
  </si>
  <si>
    <t>Singapore</t>
  </si>
  <si>
    <t>Tanzania</t>
  </si>
  <si>
    <t>Bahrain</t>
  </si>
  <si>
    <t>Myanma</t>
  </si>
  <si>
    <t>Oman</t>
  </si>
  <si>
    <t>Madagasca</t>
  </si>
  <si>
    <t>Zambia</t>
  </si>
  <si>
    <t>Liberia</t>
  </si>
  <si>
    <t>Guyana</t>
  </si>
  <si>
    <t>Lebanon</t>
  </si>
  <si>
    <t>Mali</t>
  </si>
  <si>
    <t>Mongolia</t>
  </si>
  <si>
    <t>Uzbekistan</t>
  </si>
  <si>
    <t>Angola</t>
  </si>
  <si>
    <t>Swaziland</t>
  </si>
  <si>
    <t>Timor-Leste</t>
  </si>
  <si>
    <t>Venezuela</t>
  </si>
  <si>
    <t>Saudi Arabia</t>
  </si>
  <si>
    <t>Kuwait</t>
  </si>
  <si>
    <t>South Korea</t>
  </si>
  <si>
    <t>Ghana</t>
  </si>
  <si>
    <t>Suriname</t>
  </si>
  <si>
    <t>Turkmenistan</t>
  </si>
  <si>
    <t>Malawi</t>
  </si>
  <si>
    <t>Niger</t>
  </si>
  <si>
    <t>Cameroon</t>
  </si>
  <si>
    <t>Gabon</t>
  </si>
  <si>
    <t>Togo</t>
  </si>
  <si>
    <t>Cape Verde</t>
  </si>
  <si>
    <t>Hong Kong</t>
  </si>
  <si>
    <t>Cuba</t>
  </si>
  <si>
    <t>Russia</t>
  </si>
  <si>
    <t>medium to high</t>
  </si>
  <si>
    <t>trafficking, labour abuse of migrant workers</t>
  </si>
  <si>
    <t>Brunei</t>
  </si>
  <si>
    <t>Guinea</t>
  </si>
  <si>
    <t>C</t>
  </si>
  <si>
    <t>Zimbawe</t>
  </si>
  <si>
    <t>Papua New Guinea</t>
  </si>
  <si>
    <t>Congo DR</t>
  </si>
  <si>
    <t>Guinea-Bissau</t>
  </si>
  <si>
    <t>Pakistan</t>
  </si>
  <si>
    <t>Chad</t>
  </si>
  <si>
    <t>Somalia</t>
  </si>
  <si>
    <t>Mauritania</t>
  </si>
  <si>
    <t>Sudan</t>
  </si>
  <si>
    <t>Congo</t>
  </si>
  <si>
    <t>Burundi</t>
  </si>
  <si>
    <t>Equatorial Guinea</t>
  </si>
  <si>
    <t>D</t>
  </si>
  <si>
    <t>Iran</t>
  </si>
  <si>
    <t>Central African Republic</t>
  </si>
  <si>
    <t>Eritria</t>
  </si>
  <si>
    <t>Libya</t>
  </si>
  <si>
    <t>North Korea</t>
  </si>
  <si>
    <t>??</t>
  </si>
  <si>
    <t>Lower</t>
  </si>
  <si>
    <t>Highest</t>
  </si>
  <si>
    <t>Traffic in persons Normalized</t>
  </si>
  <si>
    <t>2. Trafficking</t>
  </si>
  <si>
    <t xml:space="preserve">3. Corruption  </t>
  </si>
  <si>
    <t>4. Slavery</t>
  </si>
  <si>
    <t>Country Score - Aggregate</t>
  </si>
  <si>
    <t xml:space="preserve">Higher risk = higher, more intense audit, more likely unannounced, all social requirements have to be audited onsite on a yearly basis. </t>
  </si>
  <si>
    <t>Applicable to all types of UoC: feed, farms and processors</t>
  </si>
  <si>
    <t>Implications for different levels of risk</t>
  </si>
  <si>
    <t>Risk/Threat level</t>
  </si>
  <si>
    <t>Audit Scope Coverage</t>
  </si>
  <si>
    <t>Audit frequency</t>
  </si>
  <si>
    <t>Type of audit</t>
  </si>
  <si>
    <t xml:space="preserve">Auditor </t>
  </si>
  <si>
    <t>Other</t>
  </si>
  <si>
    <t>only community</t>
  </si>
  <si>
    <t>community on annual basis</t>
  </si>
  <si>
    <t>unannounced audit for social aspects not required (can be done in combination with unannounced environmental audit), can be done remotely</t>
  </si>
  <si>
    <t>auditor must have passed ASC social auditing training</t>
  </si>
  <si>
    <t>community + all issues not covered by ISO 45000</t>
  </si>
  <si>
    <t>annual basis</t>
  </si>
  <si>
    <t>unannounced audits should be considered based on risk assessment</t>
  </si>
  <si>
    <t>BSCI A/B level</t>
  </si>
  <si>
    <t>community + all issues not covered BSCI A/B</t>
  </si>
  <si>
    <t>all social requirements</t>
  </si>
  <si>
    <t>ASC social auditors</t>
  </si>
  <si>
    <t>complete mgt checklist</t>
  </si>
  <si>
    <t>no labor contractors (brokers/middlemen),
no international migrants
no seasonal/temporary workers</t>
  </si>
  <si>
    <t>some indicators may be able to skip - tbd</t>
  </si>
  <si>
    <t>all social requirements must be onsite audited at least once in the certification cycle (after initial and before recertification audit)</t>
  </si>
  <si>
    <t xml:space="preserve">unannounced audit based on the risk profile of UoC in combination with environmental </t>
  </si>
  <si>
    <t>migrant workers within the same country
low level of seasonal/temporary workers</t>
  </si>
  <si>
    <t xml:space="preserve">all social requirements </t>
  </si>
  <si>
    <t>annual basis for all</t>
  </si>
  <si>
    <t>international migrant workers
presence of labor contractors (middlemen)
high level of temporary/seasonal workers</t>
  </si>
  <si>
    <t>all social requirements must be audited.  In depth on trafikking, forced labor, wages</t>
  </si>
  <si>
    <t>unannounced at least once in the certification cycle</t>
  </si>
  <si>
    <t>more interviews, complete audits plus unannounced. need more focus time with vulnerable groups- e.g. not proportionate on individual interviews, group interview with vulnerable groups, external consultation with NGOs relevant to issue
check licensing of any labor contractors</t>
  </si>
  <si>
    <r>
      <t xml:space="preserve">There are no indigenous or communities directly adjacent to UoC.   </t>
    </r>
    <r>
      <rPr>
        <b/>
        <sz val="12"/>
        <color theme="0"/>
        <rFont val="Cambria"/>
        <family val="1"/>
      </rPr>
      <t>and</t>
    </r>
    <r>
      <rPr>
        <sz val="12"/>
        <color theme="0"/>
        <rFont val="Cambria"/>
        <family val="1"/>
      </rPr>
      <t xml:space="preserve"> there are no complaints against the applicant from locals</t>
    </r>
  </si>
  <si>
    <t>Principle 7  - some indicators may be able to skip tbd</t>
  </si>
  <si>
    <t>annual</t>
  </si>
  <si>
    <t>unannounced depend on risk profile of UoC</t>
  </si>
  <si>
    <t>UoC is located near or within indigenous or vulnerable communities and there are no open (substantial) complaints against the applicant from locals</t>
  </si>
  <si>
    <t>ALL</t>
  </si>
  <si>
    <t>UoC is located within or near indigenous and/or vulernable communities.  And/or
ESIA has identified social areas in the community of high probability and severity (not currently in pSIA)</t>
  </si>
  <si>
    <t>unannounced audits required at least once in certification cycle</t>
  </si>
  <si>
    <t>extended interviews with diverse type of local stakeholders, including critical and negatively affected parties, community interviews must take place for every onsite audit.  More intense monitoring of ESIA mitigation plan (of auditors).  UoC must conduct more frequent community meetings/engagement mechanisms</t>
  </si>
  <si>
    <r>
      <t>Operations located in a country that is 1 on the ASC country ranking list.</t>
    </r>
    <r>
      <rPr>
        <b/>
        <sz val="9"/>
        <color theme="0"/>
        <rFont val="Cambria"/>
        <family val="1"/>
      </rPr>
      <t xml:space="preserve"> </t>
    </r>
  </si>
  <si>
    <t>must take into account identified specific ASC issues</t>
  </si>
  <si>
    <t>depending on issues, only have to look at once during ceritifcation cycle</t>
  </si>
  <si>
    <t>unannounced depending on risk profile of UoC</t>
  </si>
  <si>
    <t>Operations located in a country that is 2 on the ASC country ranking list.</t>
  </si>
  <si>
    <t>need to look at all social aspects each audit</t>
  </si>
  <si>
    <t>Operations located in a country that is 3 on the ASC country ranking list.</t>
  </si>
  <si>
    <t>increased intensity + ASC specific issues on ranking list, unannounced audits</t>
  </si>
  <si>
    <t>no social NCs found during last audit</t>
  </si>
  <si>
    <t>see E1- #9.  CAR 2.1</t>
  </si>
  <si>
    <t>no open social NCs, all  closed timely</t>
  </si>
  <si>
    <t>one or more major social NC found in last audit and NCs not closed timely</t>
  </si>
  <si>
    <t xml:space="preserve">Either:
1) No subcontracted farms or services are used in the unit of certification; or,
2) Performance requirements for subcontracted farms and services meet the defined ASC requirements and are certified ASC.
</t>
  </si>
  <si>
    <t xml:space="preserve">Subcontractors are required to meet ASC requirements and are annually monitored by a competent person of the UoC. Records of subcontractors regarding social requirements are accessible for ASC auditors when requested. </t>
  </si>
  <si>
    <t xml:space="preserve">Subcontractors  are not required to meet ASC requirements and are not monitored by the UoC.
</t>
  </si>
  <si>
    <t>All internal and external complaints regarding the UoC have been responded to and resolved within timelines in UoC’s complaint procedure.
Need to look at workers and community</t>
  </si>
  <si>
    <t>Complaints regarding the UoC are addressed but not in a timely fashion as specified in the UoC's complaint procedure.</t>
  </si>
  <si>
    <t>Evidence is found that complaint responses and resolution related to the UoC is intentionally delayed or avoided; AND/OR
A complaint related to the UoC has escalated to legal actions.</t>
  </si>
  <si>
    <t>WGI Normalized (SA8000)</t>
  </si>
  <si>
    <t>Tier 2 watch</t>
  </si>
  <si>
    <t xml:space="preserve"> External Indices Mean </t>
  </si>
  <si>
    <t>Country Aggregate Index - External Indices</t>
  </si>
  <si>
    <t>External &amp; ASC indices Mean</t>
  </si>
  <si>
    <t>Missing Data Score:</t>
  </si>
  <si>
    <t>Aggregate Country Index</t>
  </si>
  <si>
    <t>Management system weakness</t>
  </si>
  <si>
    <t>Group internal inspections weakness</t>
  </si>
  <si>
    <t xml:space="preserve">Internal audit weakness </t>
  </si>
  <si>
    <t>Training weakness</t>
  </si>
  <si>
    <t>Overseeing of operations of Group Members' sites</t>
  </si>
  <si>
    <t>Records management weaness</t>
  </si>
  <si>
    <t>Group governance weakness</t>
  </si>
  <si>
    <t>Use of resources</t>
  </si>
  <si>
    <t>Sanction mechanism weakness</t>
  </si>
  <si>
    <t>Traceability weakness</t>
  </si>
  <si>
    <t>Country Risk Assessment score</t>
  </si>
  <si>
    <t xml:space="preserve">Results of previous external audit </t>
  </si>
  <si>
    <t>HIGHER-RISK RCF ADJUSTMENT (SRS &gt;= 130)</t>
  </si>
  <si>
    <t>SUM OF RISK SCORES (SRS)</t>
  </si>
  <si>
    <t>LOWER-RISK RCF ADJUSTMENT (SRS &lt; 130)</t>
  </si>
  <si>
    <t>RISK CORRECTION FACTOR (RCF)</t>
  </si>
  <si>
    <t>Major NCs</t>
  </si>
  <si>
    <t>Minor NCs</t>
  </si>
  <si>
    <t>No. Indicators</t>
  </si>
  <si>
    <t>CPI Risk Thresholds (H,M)</t>
  </si>
  <si>
    <t>Aggregate Risk Thresholds (H,M):</t>
  </si>
  <si>
    <t xml:space="preserve">High </t>
  </si>
  <si>
    <t>SA8000</t>
  </si>
  <si>
    <t xml:space="preserve">ISO 45000 OHS </t>
  </si>
  <si>
    <t>No 3rd party scheme</t>
  </si>
  <si>
    <t>Annual</t>
  </si>
  <si>
    <t>Community only</t>
  </si>
  <si>
    <t>Risk level</t>
  </si>
  <si>
    <t>Risk Area</t>
  </si>
  <si>
    <t>Initial Audit</t>
  </si>
  <si>
    <t>All social indicators</t>
  </si>
  <si>
    <t>Surveillance/ Recert.</t>
  </si>
  <si>
    <t>1. Audit Scope</t>
  </si>
  <si>
    <t>2. Audit Frequency</t>
  </si>
  <si>
    <t>4. Auditor Qualification</t>
  </si>
  <si>
    <t>3. Audit Announcement</t>
  </si>
  <si>
    <t>NONE</t>
  </si>
  <si>
    <t>Announced</t>
  </si>
  <si>
    <t>On-site</t>
  </si>
  <si>
    <t>4. On-site or Remote Audit</t>
  </si>
  <si>
    <t>Remote or on-site if other risks high</t>
  </si>
  <si>
    <t>1x unnanouced per cycle</t>
  </si>
  <si>
    <t>Initial &amp; 1 surveillance per cycle</t>
  </si>
  <si>
    <t>Unnanounced site if other UoC risks high</t>
  </si>
  <si>
    <t>Unnanounced if UoC other risks high</t>
  </si>
  <si>
    <t>All social indicators (&amp; specific issues)</t>
  </si>
  <si>
    <t>Community &amp; social indicators outwith ISO 45000</t>
  </si>
  <si>
    <t>Community &amp; social indicators outwith SMETA</t>
  </si>
  <si>
    <t>ASC social training passed</t>
  </si>
  <si>
    <t>Social auditor qualification</t>
  </si>
  <si>
    <r>
      <t>Community &amp; social indicators indicators outwith</t>
    </r>
    <r>
      <rPr>
        <sz val="12"/>
        <color theme="9" tint="-0.249977111117893"/>
        <rFont val="Cambria"/>
        <family val="1"/>
      </rPr>
      <t xml:space="preserve"> </t>
    </r>
    <r>
      <rPr>
        <sz val="12"/>
        <color theme="1"/>
        <rFont val="Cambria"/>
        <family val="1"/>
      </rPr>
      <t>BSCI A/B</t>
    </r>
  </si>
  <si>
    <t>Skip indicators related to labour contractors</t>
  </si>
  <si>
    <r>
      <t>Annual (</t>
    </r>
    <r>
      <rPr>
        <sz val="12"/>
        <color rgb="FF3366FF"/>
        <rFont val="Cambria"/>
        <family val="1"/>
      </rPr>
      <t>at leas</t>
    </r>
    <r>
      <rPr>
        <sz val="12"/>
        <color theme="1"/>
        <rFont val="Cambria"/>
        <family val="1"/>
      </rPr>
      <t>t)</t>
    </r>
  </si>
  <si>
    <r>
      <t>Annual (</t>
    </r>
    <r>
      <rPr>
        <sz val="11"/>
        <color rgb="FF3366FF"/>
        <rFont val="Cambria"/>
        <family val="1"/>
      </rPr>
      <t>at least</t>
    </r>
    <r>
      <rPr>
        <sz val="11"/>
        <color theme="1"/>
        <rFont val="Cambria"/>
        <family val="1"/>
      </rPr>
      <t>)</t>
    </r>
  </si>
  <si>
    <r>
      <t>S</t>
    </r>
    <r>
      <rPr>
        <sz val="12"/>
        <color rgb="FF3366FF"/>
        <rFont val="Cambria"/>
        <family val="1"/>
      </rPr>
      <t>ocial auditor qualification</t>
    </r>
  </si>
  <si>
    <r>
      <t xml:space="preserve">On-site, </t>
    </r>
    <r>
      <rPr>
        <sz val="12"/>
        <color rgb="FF3366FF"/>
        <rFont val="Cambria"/>
        <family val="1"/>
      </rPr>
      <t>possible remote</t>
    </r>
  </si>
  <si>
    <t>at least once during certification cycle</t>
  </si>
  <si>
    <t xml:space="preserve">all critical indicators + in-depth audit of indicators with NCs + effectiveness of implementation of corrective actions </t>
  </si>
  <si>
    <t xml:space="preserve">all social indicators + in-depth audit of indicators with NCs + effectiveness of corrective actions </t>
  </si>
  <si>
    <t>Skip indicators on subcontractors/services</t>
  </si>
  <si>
    <t>all indicators + competence of UoC's personnel + desk review of subcontractors' records.
If subcontracted services delivered at UoC premises, witness processed and interview subcontractors' workers</t>
  </si>
  <si>
    <t>all indicators + all relevant indicators at subcontractors premises</t>
  </si>
  <si>
    <t>annual (at least)</t>
  </si>
  <si>
    <t>all indicators + in-depth audit of grievance mechanism with focusing on interviewing workers and communities on complaints</t>
  </si>
  <si>
    <r>
      <t xml:space="preserve">all </t>
    </r>
    <r>
      <rPr>
        <b/>
        <u/>
        <sz val="11"/>
        <color theme="0"/>
        <rFont val="Calibri"/>
        <family val="2"/>
        <scheme val="minor"/>
      </rPr>
      <t>critical</t>
    </r>
    <r>
      <rPr>
        <b/>
        <sz val="11"/>
        <color theme="0"/>
        <rFont val="Calibri"/>
        <family val="2"/>
        <scheme val="minor"/>
      </rPr>
      <t xml:space="preserve"> </t>
    </r>
    <r>
      <rPr>
        <sz val="11"/>
        <color theme="0"/>
        <rFont val="Calibri"/>
        <family val="2"/>
        <scheme val="minor"/>
      </rPr>
      <t>social indicators but all social indicators must be covered during certificate cycle</t>
    </r>
  </si>
  <si>
    <r>
      <t xml:space="preserve">all </t>
    </r>
    <r>
      <rPr>
        <b/>
        <u/>
        <sz val="11"/>
        <color theme="1"/>
        <rFont val="Calibri"/>
        <family val="2"/>
        <scheme val="minor"/>
      </rPr>
      <t>critical</t>
    </r>
    <r>
      <rPr>
        <sz val="11"/>
        <color theme="1"/>
        <rFont val="Calibri"/>
        <family val="2"/>
        <scheme val="minor"/>
      </rPr>
      <t xml:space="preserve"> indicators + in-depth audit of grievance mechanism with focusing on interviewing workers and communities on complaints</t>
    </r>
  </si>
  <si>
    <r>
      <t xml:space="preserve">SMETA </t>
    </r>
    <r>
      <rPr>
        <sz val="12"/>
        <color rgb="FF3366FF"/>
        <rFont val="Cambria"/>
        <family val="1"/>
      </rPr>
      <t>3rd party</t>
    </r>
    <r>
      <rPr>
        <sz val="12"/>
        <color theme="1"/>
        <rFont val="Cambria"/>
        <family val="1"/>
      </rPr>
      <t xml:space="preserve"> certification</t>
    </r>
  </si>
  <si>
    <t>No indigenous or communities directly adjacent to UoC. &amp; no complaints from locals</t>
  </si>
  <si>
    <t>UoC near/ within indigenous/ vulnerable communities &amp; no open (substantial) complaints from locals</t>
  </si>
  <si>
    <t>UoC near/ within indigenous/ vulernable communities &amp;/or
ESIA identified high probability &amp; severity of community issues  (not currently in pSIA)</t>
  </si>
  <si>
    <t>No social NCs in prior audit</t>
  </si>
  <si>
    <t xml:space="preserve">1x per cycle, &amp; critical indicators annually </t>
  </si>
  <si>
    <t>All social indicators &amp; in-depth audit of  NCs &amp; CA implementation</t>
  </si>
  <si>
    <t>1x per cycle (exc. country-specific issues)</t>
  </si>
  <si>
    <t>Social NCs in prior audit closed by deadline</t>
  </si>
  <si>
    <t>Social NCs in prior audit  not closed by deadline</t>
  </si>
  <si>
    <t>Any internal &amp; external complaints responded/ respolved within deadline</t>
  </si>
  <si>
    <t>All internal &amp; external complaints responded/ respolved outwith deadline</t>
  </si>
  <si>
    <t>Complaint responses/ resolution intentionally delayed/ avoided AND/OR escalated to legal actions</t>
  </si>
  <si>
    <t xml:space="preserve">unannounced audit (based on UoC social &amp; environmental risk profile) </t>
  </si>
  <si>
    <t>FULL TEXT</t>
  </si>
  <si>
    <t>LOOKUP TEXT</t>
  </si>
  <si>
    <t>Subcontractors meet ASC standards, annually monitored by competent UoC person &amp; records accessible to ASC auditors</t>
  </si>
  <si>
    <t xml:space="preserve">Subcontractors  not required to meet ASC standards &amp;not monitored by the UoC.
</t>
  </si>
  <si>
    <t xml:space="preserve"> No subcontracted farms or services used, or subcontracted farms &amp; services ASC certified
</t>
  </si>
  <si>
    <t>b. Unresolved (substantive) community complaints against UoC?</t>
  </si>
  <si>
    <t>b. Internal or external complaints unresponded or unresolved within deadline?</t>
  </si>
  <si>
    <t>a. Presence of internal or external complaints?</t>
  </si>
  <si>
    <t>6..	Subcontractors including subcontracted farms and subcontracted services (related to the operations of the unit of certification)</t>
  </si>
  <si>
    <t>7. 	Complaints resolution weakness</t>
  </si>
  <si>
    <t>Skip all indicators on subcontractors/services</t>
  </si>
  <si>
    <t>All indicators &amp; competence of UoC's personnel &amp; desk review of subcontractors' records.
If subcontracted services delivered at UoC premises, witness processed &amp; interview subcontractors' workers</t>
  </si>
  <si>
    <t>All indicators &amp; all relevant indicators at subcontractors premises</t>
  </si>
  <si>
    <t>All indicators &amp; in-depth audit of grievance mechanism;  focus on interviewing workers &amp; communities re. complaints</t>
  </si>
  <si>
    <r>
      <t xml:space="preserve">All </t>
    </r>
    <r>
      <rPr>
        <b/>
        <u/>
        <sz val="11"/>
        <color theme="1"/>
        <rFont val="Calibri"/>
        <family val="2"/>
        <scheme val="minor"/>
      </rPr>
      <t>critical</t>
    </r>
    <r>
      <rPr>
        <sz val="11"/>
        <color theme="1"/>
        <rFont val="Calibri"/>
        <family val="2"/>
        <scheme val="minor"/>
      </rPr>
      <t xml:space="preserve"> indicators &amp; in-depth audit of grievance mechanism; focusing on interviewing workers and communities re. complaints</t>
    </r>
  </si>
  <si>
    <t>Subcontractors to UoC, inc. subcontracted farms &amp; services</t>
  </si>
  <si>
    <t>Country context risks: rule of law, enforcement, human rights violations</t>
  </si>
  <si>
    <t>B2. RISK ASSESSMENT: RISK CRITERIA SCORING</t>
  </si>
  <si>
    <t>All audits</t>
  </si>
  <si>
    <t>C1. Audit Scope</t>
  </si>
  <si>
    <t>C2. Audit Frequency</t>
  </si>
  <si>
    <t>C3. On-site or Remote Audit</t>
  </si>
  <si>
    <t>C4. Auditor Qualification</t>
  </si>
  <si>
    <t>C5. Audit Announcement</t>
  </si>
  <si>
    <t>Agg. Risk Rank</t>
  </si>
  <si>
    <t>Mean NCs/Audit</t>
  </si>
  <si>
    <t>Mgt. Risk Rank</t>
  </si>
  <si>
    <t>NCs from ASC farm audits</t>
  </si>
  <si>
    <t>No. certified producers (farms single &amp; multi site)</t>
  </si>
  <si>
    <t>External v Internal Risk Weighting</t>
  </si>
  <si>
    <t>ASC Internal Index</t>
  </si>
  <si>
    <t>Aggregate Index</t>
  </si>
  <si>
    <t>1. WGI Risk Indicators</t>
  </si>
  <si>
    <t>ASC Countries</t>
  </si>
  <si>
    <t>1. WGI</t>
  </si>
  <si>
    <t>Normalised External Indicators</t>
  </si>
  <si>
    <t>Aggregate External Indicators</t>
  </si>
  <si>
    <t>LOWER-RISK RCF ADJUST (SRS &lt; 50 or 70)</t>
  </si>
  <si>
    <t>HIGHER-RISK RCF ADJUST (SRS &gt;= 50 or 70)</t>
  </si>
  <si>
    <t>C6. Sub-contracted Farms &amp; Services: Scope</t>
  </si>
  <si>
    <t>C7. Complaints Resolution: Scope</t>
  </si>
  <si>
    <t>5. Social NCs resolution</t>
  </si>
  <si>
    <t>Wt Avg (Max ratios)</t>
  </si>
  <si>
    <t>Sumproduct Wt NC ratios</t>
  </si>
  <si>
    <t>B1. RISK ASSESSMENT: SOCIAL NC WEIGHTING</t>
  </si>
  <si>
    <t>High, medium &amp; low risk ratings - are derived from responses to Ques. 1-11 above</t>
  </si>
  <si>
    <t>Social non-conformities (NCs) from prior audit of the unit of certification</t>
  </si>
  <si>
    <t>AI. FACTORS</t>
  </si>
  <si>
    <t>Initial audit</t>
  </si>
  <si>
    <t>a. UoC within or directly adjacent to indigenous or vulnerable communities?</t>
  </si>
  <si>
    <t>1. Management system weakness</t>
  </si>
  <si>
    <t>2. Workers rights not protected/unsafe working and living conditions</t>
  </si>
  <si>
    <t>3. Community rights are not respected</t>
  </si>
  <si>
    <t>2. Workers rights</t>
  </si>
  <si>
    <t>3. Community rights</t>
  </si>
  <si>
    <r>
      <rPr>
        <b/>
        <sz val="11"/>
        <color rgb="FF000000"/>
        <rFont val="Calibri"/>
        <family val="2"/>
        <scheme val="minor"/>
      </rPr>
      <t>Workers rights not protected/unsafe working &amp; living conditions</t>
    </r>
  </si>
  <si>
    <r>
      <rPr>
        <b/>
        <sz val="11"/>
        <color theme="1"/>
        <rFont val="Calibri"/>
        <family val="2"/>
        <scheme val="minor"/>
      </rPr>
      <t>Community rights are not respected</t>
    </r>
  </si>
  <si>
    <t>Slavery</t>
  </si>
  <si>
    <r>
      <t>4.</t>
    </r>
    <r>
      <rPr>
        <sz val="7"/>
        <color theme="1"/>
        <rFont val="Times New Roman"/>
        <family val="1"/>
      </rPr>
      <t> </t>
    </r>
    <r>
      <rPr>
        <sz val="12"/>
        <color rgb="FFFF0000"/>
        <rFont val="Cambria"/>
        <family val="1"/>
      </rPr>
      <t>Country context risks</t>
    </r>
    <r>
      <rPr>
        <sz val="12"/>
        <color rgb="FF000000"/>
        <rFont val="Cambria"/>
        <family val="1"/>
      </rPr>
      <t xml:space="preserve"> - rule of law, enforcement, violations of human rights, etc</t>
    </r>
  </si>
  <si>
    <t>Criteria</t>
  </si>
  <si>
    <t xml:space="preserve">    b. Workers Rights</t>
  </si>
  <si>
    <r>
      <t xml:space="preserve">c. Any social </t>
    </r>
    <r>
      <rPr>
        <b/>
        <sz val="11"/>
        <color rgb="FF008000"/>
        <rFont val="Calibri"/>
        <scheme val="minor"/>
      </rPr>
      <t>NCs in any prior 3rd-party audits not closed by deadline?</t>
    </r>
  </si>
  <si>
    <r>
      <t xml:space="preserve">a. Any social NCs in prior ASC </t>
    </r>
    <r>
      <rPr>
        <b/>
        <sz val="11"/>
        <color rgb="FF008000"/>
        <rFont val="Calibri"/>
        <scheme val="minor"/>
      </rPr>
      <t>or other 3rd-party audit</t>
    </r>
    <r>
      <rPr>
        <b/>
        <sz val="11"/>
        <color rgb="FF007635"/>
        <rFont val="Calibri"/>
        <family val="2"/>
        <scheme val="minor"/>
      </rPr>
      <t>?</t>
    </r>
  </si>
  <si>
    <t>c. Subcontractors not annually monitored by competent UoC staff on ASC standard with records accessible to ASC auditors?</t>
  </si>
  <si>
    <t>a. Subcontractor(s) used?</t>
  </si>
  <si>
    <t>b. Subcontractor(s) are not ASC certified?</t>
  </si>
  <si>
    <t>c. Complaint responses/ resolution delayed or avoided AND/OR escalated to legal actions?</t>
  </si>
  <si>
    <r>
      <t xml:space="preserve">d. Temporary/ seasonal worker </t>
    </r>
    <r>
      <rPr>
        <b/>
        <sz val="11"/>
        <color rgb="FF008000"/>
        <rFont val="Calibri"/>
        <scheme val="minor"/>
      </rPr>
      <t>level</t>
    </r>
    <r>
      <rPr>
        <b/>
        <sz val="11"/>
        <color rgb="FF007635"/>
        <rFont val="Calibri"/>
        <family val="2"/>
        <scheme val="minor"/>
      </rPr>
      <t>?</t>
    </r>
  </si>
  <si>
    <t>b. Are migrant workers from same country?</t>
  </si>
  <si>
    <t>Social Criteria - Audit Intensity</t>
  </si>
  <si>
    <t>All Worker Rights indicators</t>
  </si>
  <si>
    <t>All Worker Rights indicators (in-depth: trafficking, forced labour, wages, labour contractors, accommodation)</t>
  </si>
  <si>
    <t>All Community Rights indicators</t>
  </si>
  <si>
    <t>Not all Community Rights indicators (tbc)</t>
  </si>
  <si>
    <r>
      <t xml:space="preserve">ASC </t>
    </r>
    <r>
      <rPr>
        <b/>
        <i/>
        <sz val="14"/>
        <color theme="0"/>
        <rFont val="Calibri"/>
        <family val="2"/>
        <scheme val="minor"/>
      </rPr>
      <t xml:space="preserve">site </t>
    </r>
    <r>
      <rPr>
        <b/>
        <sz val="14"/>
        <color theme="0"/>
        <rFont val="Calibri"/>
        <family val="2"/>
        <scheme val="minor"/>
      </rPr>
      <t>sample size calculator for multi-site certification</t>
    </r>
  </si>
  <si>
    <t>B. RISK ASSESSMENT: RISK CRITERIA SCORING</t>
  </si>
  <si>
    <t>Redundant Formulae</t>
  </si>
  <si>
    <t>Multi-site adjustments - conservative</t>
  </si>
  <si>
    <t>Notes:</t>
  </si>
  <si>
    <t>Group-site (i.e. Audits with IMS) calculator to be finalised as separate worksheet</t>
  </si>
  <si>
    <t>Lookup fields</t>
  </si>
  <si>
    <t>Hidden cells - Format 'custom' - ;;;</t>
  </si>
  <si>
    <t>Social risk interview number estimation to overide multi-site calculator estimation (for Group &amp; multi-site audits) - i.e. remove or hide cells from worksheet 1 (Rows 5&amp;27)</t>
  </si>
  <si>
    <t xml:space="preserve">    c. Community Rights</t>
  </si>
  <si>
    <t>c. Are international migrant workers present?</t>
  </si>
  <si>
    <t>a. Is/are labour contractor(s) (brokers/middlemen) used?</t>
  </si>
  <si>
    <t>Group certification only</t>
  </si>
  <si>
    <t>Remove completely - calc in social risk calc</t>
  </si>
  <si>
    <t>Labour Rights Criterion</t>
  </si>
  <si>
    <t xml:space="preserve"> Mangement Systems Criterion</t>
  </si>
  <si>
    <t>Community Rights Criterion</t>
  </si>
  <si>
    <t xml:space="preserve">HIGHER-RISK RCF ADJUSTMENT </t>
  </si>
  <si>
    <t>LOWER-RISK RCF ADJUSTMENT</t>
  </si>
  <si>
    <r>
      <t>A. DATA INPUT (by CAB) (</t>
    </r>
    <r>
      <rPr>
        <sz val="12"/>
        <color theme="1"/>
        <rFont val="Calibri"/>
        <family val="2"/>
        <scheme val="minor"/>
      </rPr>
      <t>For an initial audit set to zero or leave blank)</t>
    </r>
  </si>
  <si>
    <t>AUDIT SAMPLE SIZE</t>
  </si>
  <si>
    <t xml:space="preserve">Additional sample of (new)sites </t>
  </si>
  <si>
    <t>Threats</t>
  </si>
  <si>
    <t>C8. Min. number of workers to be interviewed (across all audit sites)</t>
  </si>
  <si>
    <t>Green text - Input from CAB/ auditors  - answer questions in order &amp; do not select/ enter values in blank cells</t>
  </si>
  <si>
    <t>A. DATA INPUT (CAB/ auditor)</t>
  </si>
  <si>
    <t>b. Any social NCs in prior ASC audit not closed by deadline?</t>
  </si>
  <si>
    <t>Critical NCs</t>
  </si>
  <si>
    <t>Sum of Ratios</t>
  </si>
  <si>
    <t>Critical NC Ratio</t>
  </si>
  <si>
    <t>Major NC Ratio</t>
  </si>
  <si>
    <t>Minor NC Ratio</t>
  </si>
  <si>
    <t>How many sites are included in Unit of Certification (UoC)?</t>
  </si>
  <si>
    <t>Is this the initial audit of the Unit of Certification (UoC)?</t>
  </si>
  <si>
    <r>
      <t xml:space="preserve">How many </t>
    </r>
    <r>
      <rPr>
        <b/>
        <sz val="11"/>
        <color rgb="FF007635"/>
        <rFont val="Calibri"/>
        <family val="2"/>
        <scheme val="minor"/>
      </rPr>
      <t>NEW</t>
    </r>
    <r>
      <rPr>
        <sz val="11"/>
        <color rgb="FF007635"/>
        <rFont val="Calibri"/>
        <family val="2"/>
        <scheme val="minor"/>
      </rPr>
      <t xml:space="preserve"> sites does the UoC wish to ADD in this audit?</t>
    </r>
  </si>
  <si>
    <t>This last threat in red is not for multi-site, therfore need to take out and re-check the math behind the calculator</t>
  </si>
  <si>
    <t>Critical/Major/ Minor NC weights</t>
  </si>
  <si>
    <t>Risk ratings                        Refer to definitions for high, medium and low</t>
  </si>
  <si>
    <t>Date:</t>
  </si>
  <si>
    <t>FM - Corrected (delete or hide row)</t>
  </si>
  <si>
    <t>A1. Highest number of employees across the unit of certification - in production-cycle?</t>
  </si>
  <si>
    <t>A2. Country in which the unit of certification is located?</t>
  </si>
  <si>
    <r>
      <t xml:space="preserve">A3. Existing </t>
    </r>
    <r>
      <rPr>
        <b/>
        <sz val="11"/>
        <color rgb="FF008000"/>
        <rFont val="Calibri"/>
        <scheme val="minor"/>
      </rPr>
      <t xml:space="preserve">management system based </t>
    </r>
    <r>
      <rPr>
        <b/>
        <sz val="11"/>
        <color rgb="FF007635"/>
        <rFont val="Calibri"/>
        <family val="2"/>
        <scheme val="minor"/>
      </rPr>
      <t>social standard certification?</t>
    </r>
  </si>
  <si>
    <t>A4. Worker Rights - Labour contractors, migrant &amp; seasonal labour</t>
  </si>
  <si>
    <t>A5. Community Rights</t>
  </si>
  <si>
    <t>A6. Complaints resolution performance</t>
  </si>
  <si>
    <t>A7. Subcontractors (both on-site and off-site)</t>
  </si>
  <si>
    <t>A8. Resolution of social non-conformities (NCs)</t>
  </si>
  <si>
    <t>A9. No. of social non-conformities (NCs) detected in prior audit</t>
  </si>
  <si>
    <t>A9. Social Non Conformities Prior Audit - Risk Weighting</t>
  </si>
  <si>
    <t>Principle</t>
  </si>
  <si>
    <t>Indicator</t>
  </si>
  <si>
    <t>The UoC operates legally and applies effective business management</t>
  </si>
  <si>
    <t>1.1</t>
  </si>
  <si>
    <t>The UoC is in possession of all necessary and valid business licenses and permits</t>
  </si>
  <si>
    <t>1.1.1</t>
  </si>
  <si>
    <t>1.1.2</t>
  </si>
  <si>
    <t>1.2</t>
  </si>
  <si>
    <t>The UoC implements an effective management system to maintain compliance with the ASC requirements</t>
  </si>
  <si>
    <t>1.2.1</t>
  </si>
  <si>
    <t>1.2.2</t>
  </si>
  <si>
    <t>1.2.3</t>
  </si>
  <si>
    <t>1.2.4</t>
  </si>
  <si>
    <t>1.2.5</t>
  </si>
  <si>
    <t>1.2.6</t>
  </si>
  <si>
    <t>1.2.7</t>
  </si>
  <si>
    <t>1.2.8</t>
  </si>
  <si>
    <t>1.3</t>
  </si>
  <si>
    <t>The UoC implements an effective traceability system to assure that only conforming products are sold as ASC certified</t>
  </si>
  <si>
    <t>1.3.1</t>
  </si>
  <si>
    <t>1.3.2</t>
  </si>
  <si>
    <t>1.3.3</t>
  </si>
  <si>
    <t>1.3.4</t>
  </si>
  <si>
    <t>The UoC operates in a socially responsible manner</t>
  </si>
  <si>
    <t>3.1</t>
  </si>
  <si>
    <t>The UoC is in compliance with applicable labour regulations</t>
  </si>
  <si>
    <t>3.1.1</t>
  </si>
  <si>
    <t>3.1.2</t>
  </si>
  <si>
    <t>3.2</t>
  </si>
  <si>
    <t>The UoC does not engage in - nor supports - forced, bonded, compulsory labour and human trafficking</t>
  </si>
  <si>
    <t>3.2.1</t>
  </si>
  <si>
    <t>3.2.2</t>
  </si>
  <si>
    <t>3.2.3</t>
  </si>
  <si>
    <t>3.2.4</t>
  </si>
  <si>
    <t>3.2.5</t>
  </si>
  <si>
    <t>3.2.6</t>
  </si>
  <si>
    <t>3.2.7</t>
  </si>
  <si>
    <t>3.2.8</t>
  </si>
  <si>
    <t>3.2.9</t>
  </si>
  <si>
    <t>3.2.10</t>
  </si>
  <si>
    <t>3.2.11</t>
  </si>
  <si>
    <t>3.3</t>
  </si>
  <si>
    <t>The UoC protects children and young workers</t>
  </si>
  <si>
    <t>3.3.1</t>
  </si>
  <si>
    <t>3.3.2</t>
  </si>
  <si>
    <t>3.33</t>
  </si>
  <si>
    <t>3.3.4</t>
  </si>
  <si>
    <t>3.4</t>
  </si>
  <si>
    <t>The UoC does not discriminate against its employees</t>
  </si>
  <si>
    <t>3.4.1</t>
  </si>
  <si>
    <t>3.4.2</t>
  </si>
  <si>
    <t>3.4.3</t>
  </si>
  <si>
    <t>3.5</t>
  </si>
  <si>
    <t>The UoC provides a safe and healthy work environment</t>
  </si>
  <si>
    <t>3.5.1</t>
  </si>
  <si>
    <t>3.5.2</t>
  </si>
  <si>
    <t>3.5.3</t>
  </si>
  <si>
    <t>3.5.4</t>
  </si>
  <si>
    <t>3.5.5</t>
  </si>
  <si>
    <t>3.5.6</t>
  </si>
  <si>
    <t>3.5.7</t>
  </si>
  <si>
    <t>3.5.8</t>
  </si>
  <si>
    <t>3.6</t>
  </si>
  <si>
    <t>The UoC respects the right to associate and the right for collective bargaining</t>
  </si>
  <si>
    <t>3.6.1</t>
  </si>
  <si>
    <t>3.6.2</t>
  </si>
  <si>
    <t>3.6.3</t>
  </si>
  <si>
    <t>3.7</t>
  </si>
  <si>
    <t>The UoC contracts workers in a transparent manner</t>
  </si>
  <si>
    <t>3.7.1</t>
  </si>
  <si>
    <t>3.7.2</t>
  </si>
  <si>
    <t>3.8</t>
  </si>
  <si>
    <t>The UoC pays employees at or above the legal minimum wage</t>
  </si>
  <si>
    <t>3.8.1</t>
  </si>
  <si>
    <t>3.8.2</t>
  </si>
  <si>
    <t>3.8.3</t>
  </si>
  <si>
    <t>3.8.4</t>
  </si>
  <si>
    <t>3.9</t>
  </si>
  <si>
    <t>The UoC prevents excessive working hours</t>
  </si>
  <si>
    <t>3.9.1</t>
  </si>
  <si>
    <t>3.9.2</t>
  </si>
  <si>
    <t>3.9.3</t>
  </si>
  <si>
    <t>3.9.4</t>
  </si>
  <si>
    <t>3.9.5</t>
  </si>
  <si>
    <t>3.9.6</t>
  </si>
  <si>
    <t>3.9.7</t>
  </si>
  <si>
    <t>3.10</t>
  </si>
  <si>
    <t>The UoC has disciplinary practices that respect the dignity and health of the worker</t>
  </si>
  <si>
    <t>3.10.1</t>
  </si>
  <si>
    <t>3.10.2</t>
  </si>
  <si>
    <t>3.10.3</t>
  </si>
  <si>
    <t>3.11</t>
  </si>
  <si>
    <t>The UoC provides effective worker grievance mechanisms</t>
  </si>
  <si>
    <t>3.11.1</t>
  </si>
  <si>
    <t>3.11.2</t>
  </si>
  <si>
    <t>3.12</t>
  </si>
  <si>
    <t>The UoC provides safe, decent and hygienic worker accommodation</t>
  </si>
  <si>
    <t>3.12.1</t>
  </si>
  <si>
    <t>3.12.2</t>
  </si>
  <si>
    <t>3.12.3</t>
  </si>
  <si>
    <t>3.12.4</t>
  </si>
  <si>
    <t>3.13</t>
  </si>
  <si>
    <t>The UoC contributes to maintaining or enhancing the social and economic well-being of local communities</t>
  </si>
  <si>
    <t>3.13.1</t>
  </si>
  <si>
    <t>3.13.2</t>
  </si>
  <si>
    <t>3.13.3</t>
  </si>
  <si>
    <t>3.13.4</t>
  </si>
  <si>
    <t>3.13.5</t>
  </si>
  <si>
    <t>3.14</t>
  </si>
  <si>
    <t>The UoC respects indigenous rights, cultures and traditional territories</t>
  </si>
  <si>
    <t>3.14.1</t>
  </si>
  <si>
    <t>3.14.2</t>
  </si>
  <si>
    <t>3.14.3</t>
  </si>
  <si>
    <t>c. Environmental and/or Social Impact Assessment (ESIA) identifies severe &amp; probable community impacts?</t>
  </si>
  <si>
    <t xml:space="preserve">    a. Effective Management System</t>
  </si>
  <si>
    <t>1. Effective management systems</t>
  </si>
  <si>
    <t xml:space="preserve">Sum of weigthed NC ratios - risk rank thresholds </t>
  </si>
  <si>
    <t>Is this the initial of audit of the UoC?</t>
  </si>
  <si>
    <t xml:space="preserve">ASC Social Audit Risk Assessment </t>
  </si>
  <si>
    <t>B. OUTPUT - AUDIT INSTRUCTION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</si>
</sst>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57" x14ac:knownFonts="1">
    <font>
      <sz val="11"/>
      <color theme="1"/>
      <name val="Calibri"/>
      <family val="2"/>
      <scheme val="minor"/>
    </font>
    <font>
      <sz val="12"/>
      <color theme="1"/>
      <name val="Calibri"/>
      <family val="2"/>
      <scheme val="minor"/>
    </font>
    <font>
      <sz val="12"/>
      <color theme="1"/>
      <name val="Calibri"/>
      <family val="2"/>
      <scheme val="minor"/>
    </font>
    <font>
      <sz val="11"/>
      <color theme="0"/>
      <name val="Calibri"/>
      <family val="2"/>
      <scheme val="minor"/>
    </font>
    <font>
      <b/>
      <sz val="14"/>
      <color theme="0"/>
      <name val="Calibri"/>
      <family val="2"/>
      <scheme val="minor"/>
    </font>
    <font>
      <b/>
      <i/>
      <sz val="14"/>
      <color theme="0"/>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b/>
      <sz val="11"/>
      <color rgb="FFFF0000"/>
      <name val="Calibri"/>
      <family val="2"/>
      <scheme val="minor"/>
    </font>
    <font>
      <sz val="11"/>
      <color rgb="FF0070C0"/>
      <name val="Calibri"/>
      <family val="2"/>
      <scheme val="minor"/>
    </font>
    <font>
      <sz val="11"/>
      <color rgb="FF007635"/>
      <name val="Calibri"/>
      <family val="2"/>
      <scheme val="minor"/>
    </font>
    <font>
      <sz val="9"/>
      <color indexed="81"/>
      <name val="Tahoma"/>
      <family val="2"/>
    </font>
    <font>
      <b/>
      <sz val="9"/>
      <color indexed="81"/>
      <name val="Tahoma"/>
      <family val="2"/>
    </font>
    <font>
      <b/>
      <sz val="11"/>
      <color rgb="FF007635"/>
      <name val="Calibri"/>
      <family val="2"/>
      <scheme val="minor"/>
    </font>
    <font>
      <b/>
      <sz val="11"/>
      <color rgb="FF0070C0"/>
      <name val="Calibri"/>
      <family val="2"/>
      <scheme val="minor"/>
    </font>
    <font>
      <b/>
      <sz val="11"/>
      <color rgb="FF000000"/>
      <name val="Calibri"/>
      <family val="2"/>
      <scheme val="minor"/>
    </font>
    <font>
      <b/>
      <sz val="12"/>
      <color rgb="FFFF0000"/>
      <name val="Calibri"/>
      <family val="2"/>
      <scheme val="minor"/>
    </font>
    <font>
      <sz val="12"/>
      <color theme="1"/>
      <name val="Calibri"/>
      <family val="2"/>
      <scheme val="minor"/>
    </font>
    <font>
      <sz val="11"/>
      <color rgb="FF000000"/>
      <name val="Calibri"/>
      <family val="2"/>
      <scheme val="minor"/>
    </font>
    <font>
      <sz val="11"/>
      <name val="Calibri"/>
      <family val="2"/>
      <scheme val="minor"/>
    </font>
    <font>
      <b/>
      <sz val="11"/>
      <name val="Calibri"/>
      <family val="2"/>
      <scheme val="minor"/>
    </font>
    <font>
      <sz val="11"/>
      <color rgb="FF538DD5"/>
      <name val="Calibri"/>
      <family val="2"/>
      <scheme val="minor"/>
    </font>
    <font>
      <u/>
      <sz val="11"/>
      <color theme="10"/>
      <name val="Calibri"/>
      <family val="2"/>
      <scheme val="minor"/>
    </font>
    <font>
      <b/>
      <sz val="12"/>
      <color rgb="FF000000"/>
      <name val="Cambria"/>
      <family val="1"/>
    </font>
    <font>
      <sz val="12"/>
      <color rgb="FF000000"/>
      <name val="Cambria"/>
      <family val="1"/>
    </font>
    <font>
      <sz val="12"/>
      <color theme="0"/>
      <name val="Cambria"/>
      <family val="1"/>
    </font>
    <font>
      <sz val="11"/>
      <color theme="0"/>
      <name val="Cambria"/>
      <family val="1"/>
    </font>
    <font>
      <sz val="12"/>
      <color theme="1"/>
      <name val="Cambria"/>
      <family val="1"/>
    </font>
    <font>
      <sz val="11"/>
      <color theme="1"/>
      <name val="Cambria"/>
      <family val="1"/>
    </font>
    <font>
      <b/>
      <sz val="12"/>
      <color theme="0"/>
      <name val="Cambria"/>
      <family val="1"/>
    </font>
    <font>
      <sz val="7"/>
      <color theme="1"/>
      <name val="Times New Roman"/>
      <family val="1"/>
    </font>
    <font>
      <sz val="12"/>
      <color rgb="FFFF0000"/>
      <name val="Cambria"/>
      <family val="1"/>
    </font>
    <font>
      <b/>
      <sz val="9"/>
      <color theme="0"/>
      <name val="Cambria"/>
      <family val="1"/>
    </font>
    <font>
      <sz val="11"/>
      <color rgb="FF002060"/>
      <name val="Calibri"/>
      <family val="2"/>
      <scheme val="minor"/>
    </font>
    <font>
      <sz val="12"/>
      <color rgb="FF3366FF"/>
      <name val="Cambria"/>
      <family val="1"/>
    </font>
    <font>
      <sz val="9"/>
      <color indexed="81"/>
      <name val="Calibri"/>
      <family val="2"/>
    </font>
    <font>
      <sz val="12"/>
      <color theme="9" tint="-0.249977111117893"/>
      <name val="Cambria"/>
      <family val="1"/>
    </font>
    <font>
      <sz val="11"/>
      <color rgb="FF3366FF"/>
      <name val="Cambria"/>
      <family val="1"/>
    </font>
    <font>
      <b/>
      <sz val="9"/>
      <color indexed="81"/>
      <name val="Calibri"/>
      <family val="2"/>
    </font>
    <font>
      <b/>
      <u/>
      <sz val="11"/>
      <color theme="0"/>
      <name val="Calibri"/>
      <family val="2"/>
      <scheme val="minor"/>
    </font>
    <font>
      <b/>
      <u/>
      <sz val="11"/>
      <color theme="1"/>
      <name val="Calibri"/>
      <family val="2"/>
      <scheme val="minor"/>
    </font>
    <font>
      <u/>
      <sz val="11"/>
      <color theme="11"/>
      <name val="Calibri"/>
      <family val="2"/>
      <scheme val="minor"/>
    </font>
    <font>
      <b/>
      <sz val="12"/>
      <color rgb="FF007635"/>
      <name val="Cambria"/>
      <family val="1"/>
      <scheme val="major"/>
    </font>
    <font>
      <b/>
      <sz val="12"/>
      <color theme="0"/>
      <name val="Calibri"/>
      <family val="2"/>
      <scheme val="minor"/>
    </font>
    <font>
      <b/>
      <sz val="12"/>
      <color rgb="FF002060"/>
      <name val="Calibri"/>
      <family val="2"/>
      <scheme val="minor"/>
    </font>
    <font>
      <b/>
      <sz val="12"/>
      <color rgb="FFC00000"/>
      <name val="Calibri"/>
      <family val="2"/>
      <scheme val="minor"/>
    </font>
    <font>
      <b/>
      <sz val="12"/>
      <color theme="1"/>
      <name val="Calibri"/>
      <family val="2"/>
      <scheme val="minor"/>
    </font>
    <font>
      <b/>
      <sz val="12"/>
      <color rgb="FF007635"/>
      <name val="Calibri"/>
      <family val="2"/>
      <scheme val="minor"/>
    </font>
    <font>
      <b/>
      <sz val="12"/>
      <color rgb="FF0070C0"/>
      <name val="Calibri"/>
      <family val="2"/>
      <scheme val="minor"/>
    </font>
    <font>
      <b/>
      <sz val="11"/>
      <color rgb="FF3366FF"/>
      <name val="Calibri"/>
      <scheme val="minor"/>
    </font>
    <font>
      <b/>
      <sz val="11"/>
      <color rgb="FF008000"/>
      <name val="Calibri"/>
      <scheme val="minor"/>
    </font>
    <font>
      <b/>
      <sz val="18"/>
      <color theme="0"/>
      <name val="Calibri"/>
      <scheme val="minor"/>
    </font>
    <font>
      <sz val="11"/>
      <color theme="9" tint="-0.249977111117893"/>
      <name val="Calibri"/>
      <family val="2"/>
      <scheme val="minor"/>
    </font>
    <font>
      <sz val="12"/>
      <color theme="0"/>
      <name val="Calibri"/>
      <family val="2"/>
      <charset val="129"/>
      <scheme val="minor"/>
    </font>
    <font>
      <sz val="12"/>
      <color theme="1"/>
      <name val="Times New Roman"/>
    </font>
    <font>
      <sz val="8"/>
      <name val="Calibri"/>
      <family val="2"/>
      <scheme val="minor"/>
    </font>
  </fonts>
  <fills count="27">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2060"/>
        <bgColor indexed="64"/>
      </patternFill>
    </fill>
    <fill>
      <patternFill patternType="solid">
        <fgColor theme="8" tint="-0.49998474074526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bgColor rgb="FF000000"/>
      </patternFill>
    </fill>
    <fill>
      <patternFill patternType="solid">
        <fgColor rgb="FF92D050"/>
        <bgColor rgb="FF000000"/>
      </patternFill>
    </fill>
    <fill>
      <patternFill patternType="solid">
        <fgColor rgb="FFFFC000"/>
        <bgColor rgb="FF000000"/>
      </patternFill>
    </fill>
    <fill>
      <patternFill patternType="solid">
        <fgColor rgb="FFFF0000"/>
        <bgColor rgb="FF000000"/>
      </patternFill>
    </fill>
    <fill>
      <patternFill patternType="solid">
        <fgColor rgb="FFFFFF00"/>
        <bgColor rgb="FF000000"/>
      </patternFill>
    </fill>
    <fill>
      <patternFill patternType="solid">
        <fgColor rgb="FF00B050"/>
        <bgColor indexed="64"/>
      </patternFill>
    </fill>
    <fill>
      <patternFill patternType="solid">
        <fgColor rgb="FFFFFFFF"/>
        <bgColor indexed="64"/>
      </patternFill>
    </fill>
    <fill>
      <patternFill patternType="solid">
        <fgColor rgb="FFD13F2F"/>
        <bgColor indexed="64"/>
      </patternFill>
    </fill>
    <fill>
      <patternFill patternType="solid">
        <fgColor theme="6" tint="0.59999389629810485"/>
        <bgColor indexed="64"/>
      </patternFill>
    </fill>
    <fill>
      <patternFill patternType="solid">
        <fgColor rgb="FFF7F9F1"/>
        <bgColor indexed="64"/>
      </patternFill>
    </fill>
    <fill>
      <patternFill patternType="solid">
        <fgColor rgb="FF54B0C1"/>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medium">
        <color auto="1"/>
      </left>
      <right/>
      <top style="medium">
        <color auto="1"/>
      </top>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diagonal/>
    </border>
    <border>
      <left style="medium">
        <color auto="1"/>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bottom/>
      <diagonal/>
    </border>
    <border>
      <left/>
      <right style="thin">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s>
  <cellStyleXfs count="26">
    <xf numFmtId="0" fontId="0" fillId="0" borderId="0"/>
    <xf numFmtId="0" fontId="18" fillId="0" borderId="0"/>
    <xf numFmtId="0" fontId="23"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cellStyleXfs>
  <cellXfs count="451">
    <xf numFmtId="0" fontId="0" fillId="0" borderId="0" xfId="0"/>
    <xf numFmtId="0" fontId="14" fillId="2" borderId="1" xfId="0" applyFont="1" applyFill="1" applyBorder="1" applyAlignment="1" applyProtection="1">
      <alignment horizontal="center"/>
      <protection locked="0"/>
    </xf>
    <xf numFmtId="0" fontId="14" fillId="0" borderId="1" xfId="0" applyFont="1" applyBorder="1" applyAlignment="1" applyProtection="1">
      <alignment horizontal="center"/>
      <protection locked="0"/>
    </xf>
    <xf numFmtId="0" fontId="0" fillId="0" borderId="0" xfId="0" applyAlignment="1" applyProtection="1">
      <alignment horizontal="center"/>
    </xf>
    <xf numFmtId="0" fontId="0" fillId="0" borderId="0" xfId="0" applyProtection="1"/>
    <xf numFmtId="0" fontId="0" fillId="0" borderId="0" xfId="0" applyAlignment="1" applyProtection="1">
      <alignment wrapText="1"/>
    </xf>
    <xf numFmtId="0" fontId="0" fillId="4" borderId="0" xfId="0" applyFill="1" applyAlignment="1" applyProtection="1">
      <alignment horizontal="center"/>
    </xf>
    <xf numFmtId="0" fontId="16" fillId="0" borderId="0" xfId="0" applyFont="1" applyAlignment="1" applyProtection="1">
      <alignment vertical="center"/>
    </xf>
    <xf numFmtId="0" fontId="14" fillId="0" borderId="0" xfId="0" applyFont="1" applyAlignment="1" applyProtection="1">
      <alignment vertical="center"/>
    </xf>
    <xf numFmtId="0" fontId="11" fillId="0" borderId="0" xfId="0" applyFont="1" applyProtection="1"/>
    <xf numFmtId="0" fontId="15" fillId="0" borderId="0" xfId="0" applyFont="1" applyAlignment="1" applyProtection="1">
      <alignment vertical="center"/>
    </xf>
    <xf numFmtId="0" fontId="14" fillId="0" borderId="0" xfId="0" applyFont="1" applyProtection="1"/>
    <xf numFmtId="0" fontId="9" fillId="0" borderId="0" xfId="0" applyFont="1" applyAlignment="1" applyProtection="1">
      <alignment vertical="center"/>
    </xf>
    <xf numFmtId="0" fontId="9" fillId="6" borderId="1" xfId="0" applyFont="1" applyFill="1" applyBorder="1" applyAlignment="1" applyProtection="1">
      <alignment horizontal="center"/>
    </xf>
    <xf numFmtId="0" fontId="7" fillId="5" borderId="0" xfId="0" applyFont="1" applyFill="1" applyAlignment="1" applyProtection="1">
      <alignment horizontal="center"/>
    </xf>
    <xf numFmtId="0" fontId="10" fillId="0" borderId="0" xfId="0" applyFont="1" applyBorder="1" applyAlignment="1" applyProtection="1">
      <alignment horizontal="left" vertical="center"/>
    </xf>
    <xf numFmtId="0" fontId="10" fillId="0" borderId="0" xfId="0" applyFont="1" applyProtection="1"/>
    <xf numFmtId="0" fontId="15" fillId="0" borderId="1" xfId="0" applyFont="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protection locked="0"/>
    </xf>
    <xf numFmtId="0" fontId="6" fillId="7" borderId="1" xfId="0" applyFont="1" applyFill="1" applyBorder="1" applyAlignment="1" applyProtection="1">
      <alignment horizontal="center"/>
    </xf>
    <xf numFmtId="0" fontId="6" fillId="7" borderId="1" xfId="0" applyFont="1" applyFill="1" applyBorder="1" applyProtection="1"/>
    <xf numFmtId="0" fontId="15" fillId="7" borderId="1" xfId="0" applyFont="1" applyFill="1" applyBorder="1" applyAlignment="1" applyProtection="1">
      <alignment horizontal="center" vertical="center" wrapText="1"/>
      <protection locked="0"/>
    </xf>
    <xf numFmtId="0" fontId="16" fillId="7" borderId="1" xfId="0" applyFont="1" applyFill="1" applyBorder="1" applyProtection="1"/>
    <xf numFmtId="0" fontId="0" fillId="8" borderId="1" xfId="0" applyFill="1" applyBorder="1" applyProtection="1"/>
    <xf numFmtId="0" fontId="8" fillId="8" borderId="1" xfId="0" applyFont="1" applyFill="1" applyBorder="1" applyAlignment="1" applyProtection="1">
      <alignment horizontal="center" vertical="center" wrapText="1"/>
      <protection locked="0"/>
    </xf>
    <xf numFmtId="0" fontId="7" fillId="5" borderId="0" xfId="0" applyFont="1" applyFill="1" applyProtection="1"/>
    <xf numFmtId="0" fontId="0" fillId="0" borderId="0" xfId="0" applyAlignment="1" applyProtection="1"/>
    <xf numFmtId="0" fontId="8" fillId="0" borderId="0" xfId="0" applyFont="1" applyAlignment="1" applyProtection="1"/>
    <xf numFmtId="0" fontId="0" fillId="0" borderId="0" xfId="0"/>
    <xf numFmtId="0" fontId="6" fillId="12" borderId="0" xfId="0" applyFont="1" applyFill="1"/>
    <xf numFmtId="0" fontId="0" fillId="12" borderId="0" xfId="0" applyNumberFormat="1" applyFill="1"/>
    <xf numFmtId="0" fontId="0" fillId="12" borderId="0" xfId="0" applyFill="1"/>
    <xf numFmtId="0" fontId="0" fillId="12" borderId="0" xfId="0" applyFill="1" applyBorder="1"/>
    <xf numFmtId="0" fontId="21" fillId="10" borderId="1" xfId="0" applyFont="1" applyFill="1" applyBorder="1" applyAlignment="1">
      <alignment horizontal="center" wrapText="1" readingOrder="1"/>
    </xf>
    <xf numFmtId="0" fontId="21" fillId="0" borderId="0" xfId="0" applyFont="1" applyAlignment="1">
      <alignment horizontal="center"/>
    </xf>
    <xf numFmtId="2" fontId="0" fillId="12" borderId="1" xfId="0" applyNumberFormat="1" applyFill="1" applyBorder="1"/>
    <xf numFmtId="0" fontId="19" fillId="12" borderId="1" xfId="0" applyFont="1" applyFill="1" applyBorder="1" applyAlignment="1">
      <alignment horizontal="center" wrapText="1" readingOrder="1"/>
    </xf>
    <xf numFmtId="0" fontId="0" fillId="12" borderId="1" xfId="0" applyNumberFormat="1" applyFill="1" applyBorder="1"/>
    <xf numFmtId="0" fontId="20" fillId="16" borderId="1" xfId="0" applyFont="1" applyFill="1" applyBorder="1" applyAlignment="1">
      <alignment horizontal="center" wrapText="1" readingOrder="1"/>
    </xf>
    <xf numFmtId="2" fontId="19" fillId="12" borderId="1" xfId="0" applyNumberFormat="1" applyFont="1" applyFill="1" applyBorder="1"/>
    <xf numFmtId="0" fontId="20" fillId="13" borderId="1" xfId="0" applyFont="1" applyFill="1" applyBorder="1" applyAlignment="1">
      <alignment horizontal="center" wrapText="1" readingOrder="1"/>
    </xf>
    <xf numFmtId="0" fontId="20" fillId="18" borderId="1" xfId="0" applyFont="1" applyFill="1" applyBorder="1" applyAlignment="1">
      <alignment horizontal="center" wrapText="1" readingOrder="1"/>
    </xf>
    <xf numFmtId="0" fontId="22" fillId="12" borderId="0" xfId="0" applyFont="1" applyFill="1"/>
    <xf numFmtId="0" fontId="23" fillId="12" borderId="0" xfId="2" applyFill="1"/>
    <xf numFmtId="0" fontId="0" fillId="12" borderId="1" xfId="0" applyNumberFormat="1" applyFill="1" applyBorder="1" applyAlignment="1">
      <alignment wrapText="1"/>
    </xf>
    <xf numFmtId="0" fontId="0" fillId="12" borderId="1" xfId="0" applyFill="1" applyBorder="1" applyAlignment="1">
      <alignment horizontal="center" vertical="center"/>
    </xf>
    <xf numFmtId="0" fontId="19" fillId="12" borderId="0" xfId="0" applyFont="1" applyFill="1" applyAlignment="1">
      <alignment wrapText="1"/>
    </xf>
    <xf numFmtId="0" fontId="0" fillId="12" borderId="0" xfId="0" applyFill="1" applyAlignment="1">
      <alignment wrapText="1"/>
    </xf>
    <xf numFmtId="0" fontId="0" fillId="12" borderId="1" xfId="0" applyFill="1" applyBorder="1" applyAlignment="1">
      <alignment horizontal="center" wrapText="1"/>
    </xf>
    <xf numFmtId="0" fontId="0" fillId="12" borderId="1" xfId="0" applyNumberFormat="1" applyFill="1" applyBorder="1" applyAlignment="1">
      <alignment horizontal="center" wrapText="1"/>
    </xf>
    <xf numFmtId="0" fontId="21" fillId="17" borderId="2" xfId="0" applyFont="1" applyFill="1" applyBorder="1" applyAlignment="1">
      <alignment horizontal="center" vertical="center" wrapText="1" readingOrder="1"/>
    </xf>
    <xf numFmtId="0" fontId="21" fillId="18" borderId="2" xfId="0" applyFont="1" applyFill="1" applyBorder="1" applyAlignment="1">
      <alignment horizontal="center" vertical="center" wrapText="1" readingOrder="1"/>
    </xf>
    <xf numFmtId="0" fontId="21" fillId="19" borderId="2" xfId="0" applyFont="1" applyFill="1" applyBorder="1" applyAlignment="1">
      <alignment horizontal="center" vertical="center" wrapText="1" readingOrder="1"/>
    </xf>
    <xf numFmtId="0" fontId="0" fillId="21" borderId="1" xfId="0" applyFill="1" applyBorder="1" applyAlignment="1">
      <alignment horizontal="center" vertical="center"/>
    </xf>
    <xf numFmtId="0" fontId="0" fillId="12" borderId="0" xfId="0" applyFill="1" applyBorder="1" applyAlignment="1">
      <alignment horizontal="center" wrapText="1"/>
    </xf>
    <xf numFmtId="0" fontId="0" fillId="12" borderId="2" xfId="0" applyFill="1" applyBorder="1" applyAlignment="1">
      <alignment horizontal="center" wrapText="1"/>
    </xf>
    <xf numFmtId="164" fontId="0" fillId="21" borderId="2" xfId="0" applyNumberFormat="1" applyFill="1" applyBorder="1" applyAlignment="1">
      <alignment horizontal="center" vertical="center"/>
    </xf>
    <xf numFmtId="164" fontId="0" fillId="12" borderId="7" xfId="0" applyNumberFormat="1" applyFill="1" applyBorder="1" applyAlignment="1">
      <alignment horizontal="center" vertical="center"/>
    </xf>
    <xf numFmtId="0" fontId="0" fillId="12" borderId="8" xfId="0" applyFill="1" applyBorder="1" applyAlignment="1"/>
    <xf numFmtId="0" fontId="6" fillId="12" borderId="9" xfId="0" applyFont="1" applyFill="1" applyBorder="1" applyAlignment="1">
      <alignment horizontal="center"/>
    </xf>
    <xf numFmtId="0" fontId="20" fillId="12" borderId="2" xfId="0" applyFont="1" applyFill="1" applyBorder="1"/>
    <xf numFmtId="0" fontId="0" fillId="12" borderId="2" xfId="0" applyFill="1" applyBorder="1"/>
    <xf numFmtId="0" fontId="8" fillId="12" borderId="2" xfId="0" applyFont="1" applyFill="1" applyBorder="1"/>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16" fillId="10" borderId="12" xfId="0" applyFont="1" applyFill="1" applyBorder="1" applyAlignment="1">
      <alignment horizontal="center" vertical="center" textRotation="90" wrapText="1"/>
    </xf>
    <xf numFmtId="0" fontId="0" fillId="12" borderId="14" xfId="0" applyFill="1" applyBorder="1"/>
    <xf numFmtId="2" fontId="19" fillId="12" borderId="14" xfId="0" applyNumberFormat="1" applyFont="1" applyFill="1" applyBorder="1"/>
    <xf numFmtId="0" fontId="0" fillId="12" borderId="16" xfId="0" applyFill="1" applyBorder="1"/>
    <xf numFmtId="2" fontId="0" fillId="12" borderId="17" xfId="0" applyNumberFormat="1" applyFill="1" applyBorder="1"/>
    <xf numFmtId="0" fontId="19" fillId="12" borderId="17" xfId="0" applyFont="1" applyFill="1" applyBorder="1" applyAlignment="1">
      <alignment horizontal="center" wrapText="1" readingOrder="1"/>
    </xf>
    <xf numFmtId="0" fontId="21" fillId="18" borderId="18" xfId="0" applyFont="1" applyFill="1" applyBorder="1" applyAlignment="1">
      <alignment horizontal="center" vertical="center" wrapText="1" readingOrder="1"/>
    </xf>
    <xf numFmtId="0" fontId="0" fillId="12" borderId="5" xfId="0" applyFill="1" applyBorder="1" applyAlignment="1">
      <alignment horizontal="center" vertical="center"/>
    </xf>
    <xf numFmtId="0" fontId="0" fillId="13" borderId="14" xfId="0" applyNumberFormat="1" applyFill="1" applyBorder="1" applyAlignment="1">
      <alignment horizontal="center" vertical="center"/>
    </xf>
    <xf numFmtId="0" fontId="0" fillId="15" borderId="14" xfId="0" applyNumberFormat="1" applyFill="1" applyBorder="1" applyAlignment="1">
      <alignment horizontal="center" vertical="center"/>
    </xf>
    <xf numFmtId="0" fontId="0" fillId="14" borderId="14" xfId="0" applyNumberFormat="1" applyFill="1" applyBorder="1" applyAlignment="1">
      <alignment horizontal="center" vertical="center"/>
    </xf>
    <xf numFmtId="0" fontId="19" fillId="20" borderId="14" xfId="0" applyFont="1" applyFill="1" applyBorder="1" applyAlignment="1">
      <alignment horizontal="center" vertical="center"/>
    </xf>
    <xf numFmtId="0" fontId="0" fillId="11" borderId="14" xfId="0" applyNumberFormat="1" applyFill="1" applyBorder="1" applyAlignment="1">
      <alignment horizontal="center" vertical="center" shrinkToFit="1"/>
    </xf>
    <xf numFmtId="0" fontId="19" fillId="17" borderId="14" xfId="0" applyFont="1" applyFill="1" applyBorder="1" applyAlignment="1">
      <alignment horizontal="center" vertical="center"/>
    </xf>
    <xf numFmtId="0" fontId="0" fillId="12" borderId="16" xfId="0" applyFill="1" applyBorder="1" applyAlignment="1">
      <alignment horizontal="center" vertical="center"/>
    </xf>
    <xf numFmtId="0" fontId="0" fillId="21" borderId="14" xfId="0" applyFill="1" applyBorder="1" applyAlignment="1">
      <alignment horizontal="center" vertical="center"/>
    </xf>
    <xf numFmtId="0" fontId="0" fillId="21" borderId="15" xfId="0" applyFill="1" applyBorder="1" applyAlignment="1">
      <alignment horizontal="center" vertical="center"/>
    </xf>
    <xf numFmtId="0" fontId="0" fillId="12" borderId="14" xfId="0" applyFill="1" applyBorder="1" applyAlignment="1">
      <alignment horizontal="center" vertical="center"/>
    </xf>
    <xf numFmtId="0" fontId="0" fillId="14" borderId="14" xfId="0" applyFill="1" applyBorder="1" applyAlignment="1">
      <alignment horizontal="center" vertical="center"/>
    </xf>
    <xf numFmtId="0" fontId="0" fillId="15" borderId="14" xfId="0" applyFill="1" applyBorder="1" applyAlignment="1">
      <alignment horizontal="center" vertical="center"/>
    </xf>
    <xf numFmtId="0" fontId="0" fillId="13" borderId="14" xfId="0" applyFill="1" applyBorder="1" applyAlignment="1">
      <alignment horizontal="center" vertical="center"/>
    </xf>
    <xf numFmtId="0" fontId="0" fillId="12" borderId="2" xfId="0" applyFont="1" applyFill="1" applyBorder="1"/>
    <xf numFmtId="0" fontId="0" fillId="12" borderId="2" xfId="0" applyFont="1" applyFill="1" applyBorder="1" applyAlignment="1">
      <alignment horizontal="left"/>
    </xf>
    <xf numFmtId="0" fontId="0" fillId="12" borderId="20" xfId="0" applyNumberFormat="1" applyFill="1" applyBorder="1" applyAlignment="1">
      <alignment horizontal="center" wrapText="1"/>
    </xf>
    <xf numFmtId="0" fontId="0" fillId="12" borderId="14" xfId="0" applyNumberFormat="1" applyFill="1" applyBorder="1" applyAlignment="1">
      <alignment horizontal="center" wrapText="1"/>
    </xf>
    <xf numFmtId="0" fontId="0" fillId="12" borderId="14" xfId="0" applyFill="1" applyBorder="1" applyAlignment="1">
      <alignment horizontal="center" wrapText="1"/>
    </xf>
    <xf numFmtId="0" fontId="0" fillId="12" borderId="16" xfId="0" applyNumberFormat="1" applyFill="1" applyBorder="1" applyAlignment="1">
      <alignment horizontal="center" wrapText="1"/>
    </xf>
    <xf numFmtId="0" fontId="0" fillId="12" borderId="4" xfId="0" applyFill="1" applyBorder="1" applyAlignment="1">
      <alignment horizontal="center" wrapText="1"/>
    </xf>
    <xf numFmtId="0" fontId="9" fillId="12" borderId="23" xfId="0" applyFont="1" applyFill="1" applyBorder="1" applyAlignment="1">
      <alignment horizontal="center" vertical="center" textRotation="90" wrapText="1" shrinkToFit="1"/>
    </xf>
    <xf numFmtId="0" fontId="9" fillId="12" borderId="11" xfId="0" applyFont="1" applyFill="1" applyBorder="1" applyAlignment="1">
      <alignment horizontal="center" vertical="center" textRotation="90" wrapText="1" shrinkToFit="1"/>
    </xf>
    <xf numFmtId="0" fontId="9" fillId="12" borderId="12" xfId="0" applyFont="1" applyFill="1" applyBorder="1" applyAlignment="1">
      <alignment horizontal="center" vertical="center" textRotation="90" wrapText="1" shrinkToFit="1"/>
    </xf>
    <xf numFmtId="0" fontId="0" fillId="12" borderId="17" xfId="0" applyNumberFormat="1" applyFill="1" applyBorder="1" applyAlignment="1">
      <alignment horizontal="center" wrapText="1"/>
    </xf>
    <xf numFmtId="164" fontId="0" fillId="21" borderId="4" xfId="0" applyNumberFormat="1" applyFill="1" applyBorder="1" applyAlignment="1">
      <alignment horizontal="center" vertical="center"/>
    </xf>
    <xf numFmtId="164" fontId="9" fillId="12" borderId="23" xfId="0" applyNumberFormat="1" applyFont="1" applyFill="1" applyBorder="1" applyAlignment="1">
      <alignment horizontal="center" vertical="center" textRotation="90" wrapText="1" shrinkToFit="1"/>
    </xf>
    <xf numFmtId="0" fontId="6" fillId="12" borderId="22" xfId="0" applyFont="1" applyFill="1" applyBorder="1" applyAlignment="1">
      <alignment horizontal="center" vertical="center" textRotation="90" wrapText="1"/>
    </xf>
    <xf numFmtId="0" fontId="0" fillId="12" borderId="15" xfId="0" applyNumberFormat="1" applyFill="1" applyBorder="1" applyAlignment="1">
      <alignment wrapText="1"/>
    </xf>
    <xf numFmtId="0" fontId="0" fillId="12" borderId="15" xfId="0" applyFill="1" applyBorder="1" applyAlignment="1">
      <alignment wrapText="1"/>
    </xf>
    <xf numFmtId="0" fontId="0" fillId="12" borderId="19" xfId="0" applyNumberFormat="1" applyFill="1" applyBorder="1" applyAlignment="1">
      <alignment wrapText="1"/>
    </xf>
    <xf numFmtId="0" fontId="0" fillId="12" borderId="2" xfId="0" applyNumberFormat="1" applyFill="1" applyBorder="1"/>
    <xf numFmtId="0" fontId="0" fillId="12" borderId="18" xfId="0" applyNumberFormat="1" applyFill="1" applyBorder="1"/>
    <xf numFmtId="0" fontId="21" fillId="12" borderId="24" xfId="0" applyFont="1" applyFill="1" applyBorder="1" applyAlignment="1">
      <alignment horizontal="center" vertical="center" textRotation="90" wrapText="1" shrinkToFit="1"/>
    </xf>
    <xf numFmtId="0" fontId="0" fillId="21" borderId="17" xfId="0" applyFill="1" applyBorder="1" applyAlignment="1">
      <alignment horizontal="center" vertical="center"/>
    </xf>
    <xf numFmtId="0" fontId="14" fillId="0" borderId="15" xfId="0" applyFont="1" applyBorder="1" applyProtection="1"/>
    <xf numFmtId="0" fontId="25" fillId="22" borderId="0" xfId="0" applyFont="1" applyFill="1" applyBorder="1" applyAlignment="1">
      <alignment horizontal="left" vertical="center" wrapText="1"/>
    </xf>
    <xf numFmtId="0" fontId="24" fillId="22" borderId="9" xfId="0" applyFont="1" applyFill="1" applyBorder="1" applyAlignment="1">
      <alignment horizontal="center" vertical="center" wrapText="1"/>
    </xf>
    <xf numFmtId="0" fontId="26" fillId="21" borderId="1" xfId="0" applyFont="1" applyFill="1" applyBorder="1" applyAlignment="1">
      <alignment vertical="center" wrapText="1"/>
    </xf>
    <xf numFmtId="0" fontId="27" fillId="21" borderId="1" xfId="0" applyFont="1" applyFill="1" applyBorder="1" applyAlignment="1">
      <alignment vertical="top" wrapText="1"/>
    </xf>
    <xf numFmtId="0" fontId="3" fillId="21" borderId="1" xfId="0" applyFont="1" applyFill="1" applyBorder="1" applyAlignment="1">
      <alignment vertical="top" wrapText="1"/>
    </xf>
    <xf numFmtId="0" fontId="3" fillId="21" borderId="1" xfId="0" applyFont="1" applyFill="1" applyBorder="1" applyAlignment="1">
      <alignment vertical="top"/>
    </xf>
    <xf numFmtId="0" fontId="28" fillId="14" borderId="1" xfId="0" applyFont="1" applyFill="1" applyBorder="1" applyAlignment="1">
      <alignment vertical="center" wrapText="1"/>
    </xf>
    <xf numFmtId="0" fontId="29" fillId="14" borderId="1" xfId="0" applyFont="1" applyFill="1" applyBorder="1" applyAlignment="1">
      <alignment vertical="top" wrapText="1"/>
    </xf>
    <xf numFmtId="0" fontId="0" fillId="14" borderId="1" xfId="0" applyFont="1" applyFill="1" applyBorder="1" applyAlignment="1">
      <alignment vertical="top" wrapText="1"/>
    </xf>
    <xf numFmtId="0" fontId="0" fillId="14" borderId="1" xfId="0" applyFont="1" applyFill="1" applyBorder="1" applyAlignment="1">
      <alignment vertical="top"/>
    </xf>
    <xf numFmtId="0" fontId="28" fillId="23" borderId="3" xfId="0" applyFont="1" applyFill="1" applyBorder="1" applyAlignment="1">
      <alignment vertical="center" wrapText="1"/>
    </xf>
    <xf numFmtId="0" fontId="29" fillId="23" borderId="3" xfId="0" applyFont="1" applyFill="1" applyBorder="1" applyAlignment="1">
      <alignment vertical="top" wrapText="1"/>
    </xf>
    <xf numFmtId="0" fontId="0" fillId="23" borderId="3" xfId="0" applyFont="1" applyFill="1" applyBorder="1" applyAlignment="1">
      <alignment vertical="top" wrapText="1"/>
    </xf>
    <xf numFmtId="0" fontId="0" fillId="23" borderId="3" xfId="0" applyFont="1" applyFill="1" applyBorder="1" applyAlignment="1">
      <alignment vertical="top"/>
    </xf>
    <xf numFmtId="0" fontId="28" fillId="23" borderId="3" xfId="0" applyFont="1" applyFill="1" applyBorder="1" applyAlignment="1">
      <alignment vertical="top" wrapText="1"/>
    </xf>
    <xf numFmtId="0" fontId="0" fillId="0" borderId="0" xfId="0" applyAlignment="1">
      <alignment vertical="top"/>
    </xf>
    <xf numFmtId="0" fontId="28" fillId="15" borderId="3" xfId="0" applyFont="1" applyFill="1" applyBorder="1" applyAlignment="1">
      <alignment vertical="center" wrapText="1"/>
    </xf>
    <xf numFmtId="0" fontId="29" fillId="15" borderId="3" xfId="0" applyFont="1" applyFill="1" applyBorder="1" applyAlignment="1">
      <alignment vertical="top" wrapText="1"/>
    </xf>
    <xf numFmtId="0" fontId="26" fillId="21" borderId="1" xfId="0" applyFont="1" applyFill="1" applyBorder="1" applyAlignment="1">
      <alignment vertical="top" wrapText="1"/>
    </xf>
    <xf numFmtId="0" fontId="28" fillId="14" borderId="1" xfId="0" applyFont="1" applyFill="1" applyBorder="1" applyAlignment="1">
      <alignment vertical="top" wrapText="1"/>
    </xf>
    <xf numFmtId="0" fontId="28" fillId="15" borderId="3" xfId="0" applyFont="1" applyFill="1" applyBorder="1" applyAlignment="1">
      <alignment vertical="top" wrapText="1"/>
    </xf>
    <xf numFmtId="0" fontId="0" fillId="15" borderId="3" xfId="0" applyFont="1" applyFill="1" applyBorder="1" applyAlignment="1">
      <alignment vertical="top"/>
    </xf>
    <xf numFmtId="0" fontId="0" fillId="14" borderId="1" xfId="0" applyFill="1" applyBorder="1" applyAlignment="1">
      <alignment vertical="top" wrapText="1"/>
    </xf>
    <xf numFmtId="0" fontId="0" fillId="15" borderId="3" xfId="0" applyFill="1" applyBorder="1" applyAlignment="1">
      <alignment vertical="top" wrapText="1"/>
    </xf>
    <xf numFmtId="0" fontId="3" fillId="21" borderId="10" xfId="0" applyFont="1" applyFill="1" applyBorder="1" applyAlignment="1">
      <alignment vertical="top" wrapText="1"/>
    </xf>
    <xf numFmtId="0" fontId="0" fillId="14" borderId="10" xfId="0" applyFill="1" applyBorder="1" applyAlignment="1">
      <alignment vertical="top" wrapText="1"/>
    </xf>
    <xf numFmtId="0" fontId="0" fillId="14" borderId="1" xfId="0" applyFill="1" applyBorder="1" applyAlignment="1">
      <alignment horizontal="left" vertical="top" wrapText="1"/>
    </xf>
    <xf numFmtId="0" fontId="0" fillId="15" borderId="10" xfId="0" applyFill="1" applyBorder="1" applyAlignment="1">
      <alignment horizontal="left" vertical="top" wrapText="1"/>
    </xf>
    <xf numFmtId="0" fontId="0" fillId="15" borderId="1" xfId="0" applyFill="1" applyBorder="1" applyAlignment="1">
      <alignment vertical="top" wrapText="1"/>
    </xf>
    <xf numFmtId="0" fontId="0" fillId="15" borderId="1" xfId="0" applyFill="1" applyBorder="1" applyAlignment="1">
      <alignment horizontal="left" vertical="top" wrapText="1"/>
    </xf>
    <xf numFmtId="0" fontId="0" fillId="21" borderId="1" xfId="0" applyFill="1" applyBorder="1" applyAlignment="1">
      <alignment vertical="top" wrapText="1"/>
    </xf>
    <xf numFmtId="0" fontId="0" fillId="21" borderId="19" xfId="0" applyFill="1" applyBorder="1" applyAlignment="1">
      <alignment horizontal="center" vertical="center"/>
    </xf>
    <xf numFmtId="0" fontId="0" fillId="12" borderId="0" xfId="0" applyNumberFormat="1" applyFill="1" applyBorder="1" applyAlignment="1">
      <alignment wrapText="1"/>
    </xf>
    <xf numFmtId="2" fontId="0" fillId="12" borderId="15" xfId="0" applyNumberFormat="1" applyFill="1" applyBorder="1" applyAlignment="1">
      <alignment wrapText="1"/>
    </xf>
    <xf numFmtId="0" fontId="14" fillId="0" borderId="22" xfId="0" applyFont="1" applyBorder="1" applyAlignment="1" applyProtection="1">
      <alignment horizontal="center" vertical="center" textRotation="90" wrapText="1"/>
    </xf>
    <xf numFmtId="0" fontId="9" fillId="0" borderId="0" xfId="0" applyFont="1" applyProtection="1"/>
    <xf numFmtId="0" fontId="28" fillId="14" borderId="3" xfId="0" applyFont="1" applyFill="1" applyBorder="1" applyAlignment="1">
      <alignment vertical="center" wrapText="1"/>
    </xf>
    <xf numFmtId="0" fontId="29" fillId="14" borderId="3" xfId="0" applyFont="1" applyFill="1" applyBorder="1" applyAlignment="1">
      <alignment vertical="top" wrapText="1"/>
    </xf>
    <xf numFmtId="0" fontId="0" fillId="14" borderId="3" xfId="0" applyFont="1" applyFill="1" applyBorder="1" applyAlignment="1">
      <alignment vertical="top" wrapText="1"/>
    </xf>
    <xf numFmtId="0" fontId="0" fillId="14" borderId="3" xfId="0" applyFont="1" applyFill="1" applyBorder="1" applyAlignment="1">
      <alignment vertical="top"/>
    </xf>
    <xf numFmtId="0" fontId="25" fillId="22" borderId="0" xfId="0" applyFont="1" applyFill="1" applyBorder="1" applyAlignment="1">
      <alignment horizontal="left" vertical="center" wrapText="1"/>
    </xf>
    <xf numFmtId="0" fontId="25" fillId="22" borderId="0" xfId="0" applyFont="1" applyFill="1" applyBorder="1" applyAlignment="1">
      <alignment horizontal="left" vertical="center" wrapText="1"/>
    </xf>
    <xf numFmtId="0" fontId="9" fillId="0" borderId="0" xfId="0" applyFont="1" applyAlignment="1" applyProtection="1"/>
    <xf numFmtId="0" fontId="9" fillId="0" borderId="0" xfId="0" quotePrefix="1" applyFont="1" applyAlignment="1" applyProtection="1"/>
    <xf numFmtId="0" fontId="14" fillId="0" borderId="0" xfId="0" applyFont="1" applyBorder="1" applyAlignment="1" applyProtection="1">
      <alignment horizontal="center"/>
      <protection locked="0"/>
    </xf>
    <xf numFmtId="0" fontId="26" fillId="21" borderId="10" xfId="0" applyFont="1" applyFill="1" applyBorder="1" applyAlignment="1">
      <alignment vertical="center" wrapText="1"/>
    </xf>
    <xf numFmtId="0" fontId="28" fillId="14" borderId="10" xfId="0" applyFont="1" applyFill="1" applyBorder="1" applyAlignment="1">
      <alignment vertical="center" wrapText="1"/>
    </xf>
    <xf numFmtId="0" fontId="28" fillId="14" borderId="33" xfId="0" applyFont="1" applyFill="1" applyBorder="1" applyAlignment="1">
      <alignment vertical="center" wrapText="1"/>
    </xf>
    <xf numFmtId="0" fontId="28" fillId="23" borderId="33" xfId="0" applyFont="1" applyFill="1" applyBorder="1" applyAlignment="1">
      <alignment vertical="center" wrapText="1"/>
    </xf>
    <xf numFmtId="0" fontId="28" fillId="23" borderId="33" xfId="0" applyFont="1" applyFill="1" applyBorder="1" applyAlignment="1">
      <alignment vertical="top" wrapText="1"/>
    </xf>
    <xf numFmtId="0" fontId="0" fillId="0" borderId="0" xfId="0" applyAlignment="1">
      <alignment horizontal="center"/>
    </xf>
    <xf numFmtId="0" fontId="25" fillId="22" borderId="0" xfId="0" applyFont="1" applyFill="1"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xf>
    <xf numFmtId="0" fontId="6" fillId="0" borderId="0" xfId="0" applyFont="1" applyProtection="1"/>
    <xf numFmtId="0" fontId="15" fillId="0" borderId="0" xfId="0" applyFont="1" applyProtection="1"/>
    <xf numFmtId="0" fontId="9" fillId="7" borderId="1" xfId="0" applyFont="1" applyFill="1" applyBorder="1" applyAlignment="1" applyProtection="1">
      <alignment horizontal="center" vertical="center" wrapText="1"/>
    </xf>
    <xf numFmtId="0" fontId="0" fillId="7" borderId="1" xfId="0" applyFill="1" applyBorder="1" applyAlignment="1" applyProtection="1">
      <alignment horizontal="center"/>
    </xf>
    <xf numFmtId="0" fontId="0" fillId="7" borderId="1" xfId="0" applyFill="1" applyBorder="1" applyProtection="1"/>
    <xf numFmtId="0" fontId="35" fillId="21" borderId="1" xfId="0" applyFont="1" applyFill="1" applyBorder="1" applyAlignment="1">
      <alignment vertical="center" wrapText="1"/>
    </xf>
    <xf numFmtId="0" fontId="7" fillId="5" borderId="0" xfId="0" applyFont="1" applyFill="1" applyProtection="1"/>
    <xf numFmtId="0" fontId="24" fillId="24" borderId="9" xfId="0" applyFont="1" applyFill="1" applyBorder="1" applyAlignment="1">
      <alignment horizontal="center" vertical="center" wrapText="1"/>
    </xf>
    <xf numFmtId="0" fontId="24" fillId="22" borderId="7" xfId="0" applyFont="1" applyFill="1" applyBorder="1" applyAlignment="1">
      <alignment horizontal="center" vertical="center" wrapText="1"/>
    </xf>
    <xf numFmtId="0" fontId="28" fillId="15" borderId="33" xfId="0" applyFont="1" applyFill="1" applyBorder="1" applyAlignment="1">
      <alignment vertical="center" wrapText="1"/>
    </xf>
    <xf numFmtId="0" fontId="26" fillId="21" borderId="10" xfId="0" applyFont="1" applyFill="1" applyBorder="1" applyAlignment="1">
      <alignment vertical="top" wrapText="1"/>
    </xf>
    <xf numFmtId="0" fontId="28" fillId="14" borderId="10" xfId="0" applyFont="1" applyFill="1" applyBorder="1" applyAlignment="1">
      <alignment vertical="top" wrapText="1"/>
    </xf>
    <xf numFmtId="0" fontId="28" fillId="15" borderId="33" xfId="0" applyFont="1" applyFill="1" applyBorder="1" applyAlignment="1">
      <alignment vertical="top" wrapText="1"/>
    </xf>
    <xf numFmtId="0" fontId="0" fillId="0" borderId="5" xfId="0" applyBorder="1" applyAlignment="1">
      <alignment horizontal="center"/>
    </xf>
    <xf numFmtId="0" fontId="25" fillId="0" borderId="14" xfId="0" applyFont="1" applyBorder="1" applyAlignment="1">
      <alignment horizontal="center" vertical="center" wrapText="1"/>
    </xf>
    <xf numFmtId="0" fontId="26" fillId="21" borderId="35" xfId="0" applyFont="1" applyFill="1" applyBorder="1" applyAlignment="1">
      <alignment vertical="center" wrapText="1"/>
    </xf>
    <xf numFmtId="0" fontId="28" fillId="14" borderId="35" xfId="0" applyFont="1" applyFill="1" applyBorder="1" applyAlignment="1">
      <alignment vertical="center" wrapText="1"/>
    </xf>
    <xf numFmtId="0" fontId="28" fillId="14" borderId="36" xfId="0" applyFont="1" applyFill="1" applyBorder="1" applyAlignment="1">
      <alignment vertical="center" wrapText="1"/>
    </xf>
    <xf numFmtId="0" fontId="28" fillId="23" borderId="36" xfId="0" applyFont="1" applyFill="1" applyBorder="1" applyAlignment="1">
      <alignment vertical="center" wrapText="1"/>
    </xf>
    <xf numFmtId="0" fontId="28" fillId="23" borderId="36" xfId="0" applyFont="1" applyFill="1" applyBorder="1" applyAlignment="1">
      <alignment vertical="top" wrapText="1"/>
    </xf>
    <xf numFmtId="0" fontId="26" fillId="21" borderId="15" xfId="0" applyFont="1" applyFill="1" applyBorder="1" applyAlignment="1">
      <alignment vertical="center" wrapText="1"/>
    </xf>
    <xf numFmtId="0" fontId="28" fillId="14" borderId="15" xfId="0" applyFont="1" applyFill="1" applyBorder="1" applyAlignment="1">
      <alignment vertical="center" wrapText="1"/>
    </xf>
    <xf numFmtId="0" fontId="28" fillId="15" borderId="37" xfId="0" applyFont="1" applyFill="1" applyBorder="1" applyAlignment="1">
      <alignment vertical="center" wrapText="1"/>
    </xf>
    <xf numFmtId="0" fontId="28" fillId="0" borderId="14" xfId="0" applyFont="1" applyBorder="1" applyAlignment="1">
      <alignment horizontal="center" vertical="center" wrapText="1"/>
    </xf>
    <xf numFmtId="0" fontId="26" fillId="21" borderId="15" xfId="0" applyFont="1" applyFill="1" applyBorder="1" applyAlignment="1">
      <alignment vertical="top" wrapText="1"/>
    </xf>
    <xf numFmtId="0" fontId="28" fillId="14" borderId="15" xfId="0" applyFont="1" applyFill="1" applyBorder="1" applyAlignment="1">
      <alignment vertical="top" wrapText="1"/>
    </xf>
    <xf numFmtId="0" fontId="28" fillId="0" borderId="16" xfId="0" applyFont="1" applyBorder="1" applyAlignment="1">
      <alignment horizontal="center" vertical="center" wrapText="1"/>
    </xf>
    <xf numFmtId="0" fontId="28" fillId="15" borderId="19" xfId="0" applyFont="1" applyFill="1" applyBorder="1" applyAlignment="1">
      <alignment vertical="top" wrapText="1"/>
    </xf>
    <xf numFmtId="0" fontId="25" fillId="0" borderId="38" xfId="0" applyFont="1" applyBorder="1" applyAlignment="1">
      <alignment horizontal="center" vertical="center" wrapText="1"/>
    </xf>
    <xf numFmtId="0" fontId="26" fillId="21" borderId="39" xfId="0" applyFont="1" applyFill="1" applyBorder="1" applyAlignment="1">
      <alignment vertical="center" wrapText="1"/>
    </xf>
    <xf numFmtId="0" fontId="25" fillId="22" borderId="40" xfId="0" applyFont="1" applyFill="1" applyBorder="1" applyAlignment="1">
      <alignment horizontal="center" vertical="center" wrapText="1"/>
    </xf>
    <xf numFmtId="0" fontId="43" fillId="0" borderId="9" xfId="0" applyFont="1" applyBorder="1" applyAlignment="1" applyProtection="1">
      <alignment horizontal="center" vertical="center"/>
      <protection locked="0"/>
    </xf>
    <xf numFmtId="0" fontId="9" fillId="0" borderId="0" xfId="0" applyFont="1" applyBorder="1" applyAlignment="1" applyProtection="1">
      <alignment horizontal="center"/>
    </xf>
    <xf numFmtId="0" fontId="45" fillId="6" borderId="1" xfId="0" applyFont="1" applyFill="1" applyBorder="1" applyAlignment="1" applyProtection="1">
      <alignment horizontal="left" vertical="center" wrapText="1"/>
    </xf>
    <xf numFmtId="0" fontId="47" fillId="0" borderId="0" xfId="0" applyFont="1" applyAlignment="1" applyProtection="1">
      <alignment horizontal="left"/>
    </xf>
    <xf numFmtId="0" fontId="47" fillId="0" borderId="0" xfId="0" applyFont="1" applyProtection="1"/>
    <xf numFmtId="0" fontId="8" fillId="8" borderId="1" xfId="0" applyFont="1" applyFill="1" applyBorder="1" applyAlignment="1" applyProtection="1">
      <alignment horizontal="center" vertical="center" wrapText="1"/>
      <protection hidden="1"/>
    </xf>
    <xf numFmtId="0" fontId="46" fillId="6" borderId="1" xfId="0" applyFont="1" applyFill="1" applyBorder="1" applyAlignment="1" applyProtection="1">
      <alignment horizontal="center" vertical="center" wrapText="1"/>
      <protection hidden="1"/>
    </xf>
    <xf numFmtId="0" fontId="46" fillId="6" borderId="3" xfId="0" applyFont="1" applyFill="1" applyBorder="1" applyAlignment="1" applyProtection="1">
      <alignment horizontal="center" vertical="center" wrapText="1"/>
      <protection hidden="1"/>
    </xf>
    <xf numFmtId="0" fontId="7" fillId="5" borderId="21" xfId="0" applyFont="1" applyFill="1" applyBorder="1" applyProtection="1"/>
    <xf numFmtId="0" fontId="7" fillId="5" borderId="13" xfId="0" applyFont="1" applyFill="1" applyBorder="1" applyAlignment="1" applyProtection="1">
      <alignment horizontal="center"/>
    </xf>
    <xf numFmtId="0" fontId="7" fillId="5" borderId="31" xfId="0" applyFont="1" applyFill="1" applyBorder="1" applyAlignment="1" applyProtection="1">
      <alignment horizontal="center"/>
    </xf>
    <xf numFmtId="0" fontId="7" fillId="5" borderId="32" xfId="0" applyFont="1" applyFill="1" applyBorder="1" applyAlignment="1" applyProtection="1">
      <alignment horizontal="left"/>
    </xf>
    <xf numFmtId="0" fontId="7" fillId="5" borderId="32" xfId="0" applyFont="1" applyFill="1" applyBorder="1" applyAlignment="1" applyProtection="1">
      <alignment horizontal="center"/>
    </xf>
    <xf numFmtId="0" fontId="7" fillId="5" borderId="42" xfId="0" applyFont="1" applyFill="1" applyBorder="1" applyAlignment="1" applyProtection="1">
      <alignment horizontal="center"/>
    </xf>
    <xf numFmtId="0" fontId="45" fillId="6" borderId="3" xfId="0" applyFont="1" applyFill="1" applyBorder="1" applyAlignment="1" applyProtection="1">
      <alignment horizontal="left" vertical="center" wrapText="1"/>
    </xf>
    <xf numFmtId="0" fontId="7" fillId="5" borderId="26" xfId="0" applyFont="1" applyFill="1" applyBorder="1" applyProtection="1"/>
    <xf numFmtId="0" fontId="20" fillId="0" borderId="0" xfId="0" applyFont="1" applyProtection="1"/>
    <xf numFmtId="0" fontId="0" fillId="12" borderId="14" xfId="0" applyNumberFormat="1" applyFill="1" applyBorder="1" applyAlignment="1">
      <alignment horizontal="center" vertical="center" wrapText="1"/>
    </xf>
    <xf numFmtId="0" fontId="0" fillId="12" borderId="14"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1" xfId="0" applyFill="1" applyBorder="1" applyAlignment="1">
      <alignment horizontal="center" vertical="center" wrapText="1"/>
    </xf>
    <xf numFmtId="0" fontId="0" fillId="12" borderId="1" xfId="0" applyNumberFormat="1" applyFill="1" applyBorder="1" applyAlignment="1">
      <alignment horizontal="center" vertical="center" wrapText="1"/>
    </xf>
    <xf numFmtId="0" fontId="48" fillId="0" borderId="0" xfId="0" applyFont="1" applyAlignment="1" applyProtection="1">
      <alignment vertical="center"/>
    </xf>
    <xf numFmtId="0" fontId="49" fillId="0" borderId="0" xfId="0" applyFont="1" applyAlignment="1" applyProtection="1">
      <alignment vertical="center"/>
    </xf>
    <xf numFmtId="0" fontId="17" fillId="0" borderId="0" xfId="0" applyFont="1" applyAlignment="1" applyProtection="1">
      <alignment vertical="center"/>
    </xf>
    <xf numFmtId="0" fontId="0" fillId="12" borderId="7" xfId="0" applyFill="1" applyBorder="1" applyAlignment="1">
      <alignment horizontal="center" wrapText="1"/>
    </xf>
    <xf numFmtId="0" fontId="0" fillId="12" borderId="20" xfId="0" applyNumberFormat="1" applyFill="1" applyBorder="1" applyAlignment="1">
      <alignment horizontal="center" vertical="center" wrapText="1"/>
    </xf>
    <xf numFmtId="0" fontId="0" fillId="12" borderId="1" xfId="0" applyNumberFormat="1" applyFill="1" applyBorder="1" applyAlignment="1">
      <alignment horizontal="center" vertical="center"/>
    </xf>
    <xf numFmtId="0" fontId="44" fillId="5" borderId="6" xfId="0" applyFont="1" applyFill="1" applyBorder="1" applyAlignment="1" applyProtection="1">
      <alignment horizontal="left"/>
    </xf>
    <xf numFmtId="0" fontId="44" fillId="5" borderId="7" xfId="0" applyFont="1" applyFill="1" applyBorder="1" applyAlignment="1" applyProtection="1">
      <alignment horizontal="left"/>
    </xf>
    <xf numFmtId="0" fontId="14" fillId="0" borderId="2" xfId="0" applyFont="1" applyBorder="1" applyProtection="1"/>
    <xf numFmtId="0" fontId="9" fillId="0" borderId="8" xfId="0" applyFont="1" applyBorder="1" applyProtection="1">
      <protection hidden="1"/>
    </xf>
    <xf numFmtId="0" fontId="14" fillId="0" borderId="0" xfId="0" applyFont="1" applyBorder="1" applyProtection="1">
      <protection locked="0"/>
    </xf>
    <xf numFmtId="0" fontId="14" fillId="0" borderId="0" xfId="0" applyFont="1" applyBorder="1" applyProtection="1"/>
    <xf numFmtId="0" fontId="14" fillId="0" borderId="9" xfId="0" applyFont="1" applyBorder="1" applyProtection="1"/>
    <xf numFmtId="0" fontId="6" fillId="0" borderId="6" xfId="0" applyFont="1" applyBorder="1" applyAlignment="1">
      <alignment horizontal="left"/>
    </xf>
    <xf numFmtId="0" fontId="6" fillId="0" borderId="7" xfId="0" applyFont="1" applyBorder="1" applyAlignment="1">
      <alignment horizontal="center"/>
    </xf>
    <xf numFmtId="0" fontId="6" fillId="0" borderId="7" xfId="0" applyFont="1" applyBorder="1" applyAlignment="1">
      <alignment horizontal="left"/>
    </xf>
    <xf numFmtId="0" fontId="0" fillId="0" borderId="7" xfId="0" applyBorder="1"/>
    <xf numFmtId="0" fontId="0" fillId="0" borderId="9" xfId="0" applyBorder="1"/>
    <xf numFmtId="0" fontId="6" fillId="12" borderId="7" xfId="0" applyFont="1" applyFill="1" applyBorder="1" applyAlignment="1"/>
    <xf numFmtId="0" fontId="6" fillId="0" borderId="6" xfId="0" applyFont="1" applyBorder="1"/>
    <xf numFmtId="0" fontId="0" fillId="0" borderId="26" xfId="0" applyBorder="1"/>
    <xf numFmtId="0" fontId="21" fillId="10" borderId="5" xfId="0" applyFont="1" applyFill="1" applyBorder="1" applyAlignment="1">
      <alignment horizontal="center" vertical="center" textRotation="90" wrapText="1"/>
    </xf>
    <xf numFmtId="0" fontId="6" fillId="12" borderId="45" xfId="0" applyFont="1" applyFill="1" applyBorder="1" applyAlignment="1">
      <alignment horizontal="center" vertical="center" textRotation="90" wrapText="1"/>
    </xf>
    <xf numFmtId="0" fontId="6" fillId="12" borderId="30" xfId="0" applyFont="1" applyFill="1" applyBorder="1" applyAlignment="1">
      <alignment horizontal="center" vertical="center" textRotation="90" wrapText="1" shrinkToFit="1"/>
    </xf>
    <xf numFmtId="0" fontId="6" fillId="12" borderId="46" xfId="0" applyFont="1" applyFill="1" applyBorder="1" applyAlignment="1">
      <alignment horizontal="center" vertical="center" textRotation="90" wrapText="1" shrinkToFit="1"/>
    </xf>
    <xf numFmtId="0" fontId="6" fillId="0" borderId="6" xfId="0" applyFont="1" applyBorder="1" applyAlignment="1">
      <alignment horizontal="center"/>
    </xf>
    <xf numFmtId="0" fontId="6" fillId="0" borderId="9" xfId="0" applyFont="1" applyBorder="1" applyAlignment="1">
      <alignment horizontal="left"/>
    </xf>
    <xf numFmtId="0" fontId="6" fillId="0" borderId="4" xfId="0" applyFont="1" applyBorder="1" applyAlignment="1">
      <alignment horizontal="center" vertical="center" textRotation="90" wrapText="1"/>
    </xf>
    <xf numFmtId="0" fontId="0" fillId="12" borderId="26" xfId="0" applyFill="1" applyBorder="1"/>
    <xf numFmtId="0" fontId="6" fillId="0" borderId="26" xfId="0" applyFont="1" applyBorder="1"/>
    <xf numFmtId="0" fontId="0" fillId="0" borderId="13" xfId="0" applyBorder="1"/>
    <xf numFmtId="0" fontId="6" fillId="0" borderId="38" xfId="0" applyFont="1" applyBorder="1" applyAlignment="1">
      <alignment horizontal="center" vertical="center" textRotation="90" wrapText="1"/>
    </xf>
    <xf numFmtId="0" fontId="6" fillId="12" borderId="5" xfId="0" applyFont="1" applyFill="1" applyBorder="1" applyAlignment="1">
      <alignment horizontal="center" vertical="center" textRotation="90" wrapText="1"/>
    </xf>
    <xf numFmtId="0" fontId="6" fillId="12" borderId="5" xfId="0" applyFont="1" applyFill="1" applyBorder="1" applyAlignment="1">
      <alignment horizontal="center" vertical="center" textRotation="90" wrapText="1" shrinkToFit="1"/>
    </xf>
    <xf numFmtId="0" fontId="15" fillId="0" borderId="0" xfId="0" applyFont="1" applyBorder="1" applyAlignment="1" applyProtection="1">
      <alignment horizontal="left"/>
    </xf>
    <xf numFmtId="0" fontId="6" fillId="7" borderId="14" xfId="0" applyFont="1" applyFill="1" applyBorder="1" applyAlignment="1" applyProtection="1">
      <alignment horizontal="center"/>
    </xf>
    <xf numFmtId="0" fontId="0" fillId="8" borderId="14" xfId="0" applyFill="1" applyBorder="1" applyAlignment="1" applyProtection="1">
      <alignment horizontal="center"/>
    </xf>
    <xf numFmtId="0" fontId="0" fillId="8" borderId="16" xfId="0" applyFill="1" applyBorder="1" applyAlignment="1" applyProtection="1">
      <alignment horizontal="center"/>
    </xf>
    <xf numFmtId="0" fontId="8" fillId="8" borderId="17" xfId="0" applyFont="1" applyFill="1" applyBorder="1" applyAlignment="1" applyProtection="1">
      <alignment horizontal="center" vertical="center" wrapText="1"/>
      <protection hidden="1"/>
    </xf>
    <xf numFmtId="0" fontId="15" fillId="0" borderId="48" xfId="0" applyFont="1" applyBorder="1" applyAlignment="1" applyProtection="1">
      <alignment horizontal="center" vertical="center" wrapText="1"/>
      <protection locked="0"/>
    </xf>
    <xf numFmtId="0" fontId="15" fillId="0" borderId="49" xfId="0" applyFont="1" applyBorder="1" applyAlignment="1" applyProtection="1">
      <alignment horizontal="center" vertical="center" wrapText="1"/>
      <protection locked="0"/>
    </xf>
    <xf numFmtId="0" fontId="9" fillId="0" borderId="47" xfId="0" applyFont="1" applyBorder="1" applyAlignment="1" applyProtection="1">
      <alignment horizontal="center"/>
      <protection hidden="1"/>
    </xf>
    <xf numFmtId="0" fontId="17" fillId="7" borderId="2" xfId="0" applyFont="1" applyFill="1" applyBorder="1" applyAlignment="1" applyProtection="1">
      <alignment horizontal="center" vertical="center" wrapText="1"/>
      <protection hidden="1"/>
    </xf>
    <xf numFmtId="0" fontId="10" fillId="7" borderId="2" xfId="0" applyFont="1" applyFill="1" applyBorder="1" applyAlignment="1" applyProtection="1">
      <alignment horizontal="center" vertical="center" wrapText="1"/>
      <protection locked="0"/>
    </xf>
    <xf numFmtId="0" fontId="8" fillId="8" borderId="2" xfId="0" applyFont="1" applyFill="1" applyBorder="1" applyAlignment="1" applyProtection="1">
      <alignment horizontal="center" vertical="center" wrapText="1"/>
      <protection hidden="1"/>
    </xf>
    <xf numFmtId="0" fontId="17" fillId="8" borderId="18" xfId="0" applyFont="1" applyFill="1" applyBorder="1" applyAlignment="1" applyProtection="1">
      <alignment horizontal="center" vertical="center" wrapText="1"/>
      <protection hidden="1"/>
    </xf>
    <xf numFmtId="0" fontId="9" fillId="7" borderId="35" xfId="0" applyFont="1" applyFill="1" applyBorder="1" applyAlignment="1" applyProtection="1">
      <alignment horizontal="center"/>
      <protection hidden="1"/>
    </xf>
    <xf numFmtId="0" fontId="9" fillId="9" borderId="35" xfId="0" applyFont="1" applyFill="1" applyBorder="1" applyAlignment="1" applyProtection="1">
      <alignment horizontal="center"/>
      <protection hidden="1"/>
    </xf>
    <xf numFmtId="0" fontId="9" fillId="9" borderId="50" xfId="0" applyFont="1" applyFill="1" applyBorder="1" applyAlignment="1" applyProtection="1">
      <alignment horizontal="center"/>
      <protection hidden="1"/>
    </xf>
    <xf numFmtId="2" fontId="9" fillId="0" borderId="50" xfId="0" applyNumberFormat="1" applyFont="1" applyBorder="1" applyAlignment="1" applyProtection="1">
      <alignment horizontal="center"/>
      <protection hidden="1"/>
    </xf>
    <xf numFmtId="0" fontId="9" fillId="0" borderId="48" xfId="0" applyFont="1" applyBorder="1" applyAlignment="1" applyProtection="1">
      <alignment horizontal="center"/>
      <protection hidden="1"/>
    </xf>
    <xf numFmtId="0" fontId="9" fillId="0" borderId="49" xfId="0" applyFont="1" applyBorder="1" applyAlignment="1" applyProtection="1">
      <alignment horizontal="center"/>
      <protection hidden="1"/>
    </xf>
    <xf numFmtId="0" fontId="44" fillId="5" borderId="26" xfId="0" applyFont="1" applyFill="1" applyBorder="1" applyAlignment="1" applyProtection="1">
      <alignment horizontal="center"/>
    </xf>
    <xf numFmtId="0" fontId="46" fillId="6" borderId="15" xfId="0" applyFont="1" applyFill="1" applyBorder="1" applyAlignment="1" applyProtection="1">
      <alignment horizontal="center" vertical="center" wrapText="1"/>
      <protection hidden="1"/>
    </xf>
    <xf numFmtId="0" fontId="46" fillId="6" borderId="37" xfId="0" applyFont="1" applyFill="1" applyBorder="1" applyAlignment="1" applyProtection="1">
      <alignment horizontal="center" vertical="center" wrapText="1"/>
      <protection hidden="1"/>
    </xf>
    <xf numFmtId="0" fontId="47" fillId="0" borderId="21" xfId="0" applyFont="1" applyBorder="1" applyProtection="1"/>
    <xf numFmtId="0" fontId="0" fillId="0" borderId="26" xfId="0" applyBorder="1" applyProtection="1"/>
    <xf numFmtId="0" fontId="14" fillId="0" borderId="30" xfId="0" applyFont="1" applyBorder="1" applyProtection="1"/>
    <xf numFmtId="0" fontId="0" fillId="0" borderId="0" xfId="0" applyBorder="1" applyProtection="1"/>
    <xf numFmtId="0" fontId="0" fillId="0" borderId="52" xfId="0" applyBorder="1" applyAlignment="1" applyProtection="1">
      <alignment horizontal="center"/>
    </xf>
    <xf numFmtId="0" fontId="9" fillId="0" borderId="37" xfId="0" applyFont="1" applyBorder="1" applyAlignment="1" applyProtection="1">
      <alignment horizontal="center"/>
    </xf>
    <xf numFmtId="0" fontId="9" fillId="0" borderId="41" xfId="0" applyFont="1" applyBorder="1" applyAlignment="1" applyProtection="1">
      <alignment horizontal="center"/>
      <protection hidden="1"/>
    </xf>
    <xf numFmtId="0" fontId="14" fillId="0" borderId="52" xfId="0" applyFont="1" applyBorder="1" applyAlignment="1" applyProtection="1">
      <alignment horizontal="center"/>
      <protection locked="0"/>
    </xf>
    <xf numFmtId="0" fontId="0" fillId="0" borderId="30" xfId="0" applyBorder="1" applyAlignment="1" applyProtection="1">
      <alignment horizontal="center"/>
    </xf>
    <xf numFmtId="0" fontId="0" fillId="0" borderId="52" xfId="0" applyBorder="1" applyProtection="1"/>
    <xf numFmtId="0" fontId="9" fillId="0" borderId="41" xfId="0" applyFont="1" applyBorder="1" applyAlignment="1" applyProtection="1">
      <alignment horizontal="center"/>
    </xf>
    <xf numFmtId="0" fontId="9" fillId="0" borderId="52" xfId="0" applyFont="1" applyBorder="1" applyAlignment="1" applyProtection="1">
      <alignment horizontal="center"/>
    </xf>
    <xf numFmtId="0" fontId="0" fillId="0" borderId="30" xfId="0" applyBorder="1" applyProtection="1"/>
    <xf numFmtId="0" fontId="21" fillId="25" borderId="5" xfId="0" applyFont="1" applyFill="1" applyBorder="1" applyAlignment="1" applyProtection="1">
      <alignment horizontal="center"/>
    </xf>
    <xf numFmtId="0" fontId="15" fillId="25" borderId="17" xfId="0" applyFont="1" applyFill="1" applyBorder="1" applyAlignment="1" applyProtection="1">
      <alignment horizontal="center"/>
    </xf>
    <xf numFmtId="0" fontId="15" fillId="25" borderId="19" xfId="0" applyFont="1" applyFill="1" applyBorder="1" applyAlignment="1" applyProtection="1">
      <alignment horizontal="center"/>
    </xf>
    <xf numFmtId="0" fontId="4" fillId="5" borderId="26" xfId="0" applyFont="1" applyFill="1" applyBorder="1" applyAlignment="1" applyProtection="1">
      <alignment horizontal="center"/>
    </xf>
    <xf numFmtId="0" fontId="4" fillId="5" borderId="13" xfId="0" applyFont="1" applyFill="1" applyBorder="1" applyAlignment="1" applyProtection="1">
      <alignment horizontal="center"/>
    </xf>
    <xf numFmtId="0" fontId="24" fillId="22" borderId="43" xfId="0" applyFont="1" applyFill="1" applyBorder="1" applyAlignment="1">
      <alignment horizontal="center" vertical="center" wrapText="1"/>
    </xf>
    <xf numFmtId="0" fontId="28" fillId="14" borderId="37" xfId="0" applyFont="1" applyFill="1" applyBorder="1" applyAlignment="1">
      <alignment vertical="center" wrapText="1"/>
    </xf>
    <xf numFmtId="0" fontId="28" fillId="23" borderId="37" xfId="0" applyFont="1" applyFill="1" applyBorder="1" applyAlignment="1">
      <alignment vertical="center" wrapText="1"/>
    </xf>
    <xf numFmtId="0" fontId="28" fillId="23" borderId="37" xfId="0" applyFont="1" applyFill="1" applyBorder="1" applyAlignment="1">
      <alignment vertical="top" wrapText="1"/>
    </xf>
    <xf numFmtId="0" fontId="28" fillId="15" borderId="37" xfId="0" applyFont="1" applyFill="1" applyBorder="1" applyAlignment="1">
      <alignment vertical="top" wrapText="1"/>
    </xf>
    <xf numFmtId="0" fontId="3" fillId="21" borderId="15" xfId="0" applyFont="1" applyFill="1" applyBorder="1" applyAlignment="1">
      <alignment vertical="top" wrapText="1"/>
    </xf>
    <xf numFmtId="0" fontId="0" fillId="14" borderId="15" xfId="0" applyFill="1" applyBorder="1" applyAlignment="1">
      <alignment vertical="top" wrapText="1"/>
    </xf>
    <xf numFmtId="0" fontId="0" fillId="15" borderId="37" xfId="0" applyFill="1" applyBorder="1" applyAlignment="1">
      <alignment vertical="top" wrapText="1"/>
    </xf>
    <xf numFmtId="0" fontId="3" fillId="21" borderId="35" xfId="0" applyFont="1" applyFill="1" applyBorder="1" applyAlignment="1">
      <alignment vertical="top" wrapText="1"/>
    </xf>
    <xf numFmtId="0" fontId="0" fillId="14" borderId="15" xfId="0" applyFill="1" applyBorder="1" applyAlignment="1">
      <alignment horizontal="left" vertical="top" wrapText="1"/>
    </xf>
    <xf numFmtId="0" fontId="0" fillId="15" borderId="15" xfId="0" applyFill="1" applyBorder="1" applyAlignment="1">
      <alignment horizontal="left" vertical="top" wrapText="1"/>
    </xf>
    <xf numFmtId="0" fontId="0" fillId="21" borderId="15" xfId="0" applyFill="1" applyBorder="1" applyAlignment="1">
      <alignment vertical="top" wrapText="1"/>
    </xf>
    <xf numFmtId="0" fontId="0" fillId="0" borderId="17" xfId="0" applyBorder="1" applyAlignment="1">
      <alignment horizontal="center" vertical="top"/>
    </xf>
    <xf numFmtId="0" fontId="0" fillId="15" borderId="17" xfId="0" applyFill="1" applyBorder="1" applyAlignment="1">
      <alignment horizontal="left" vertical="top" wrapText="1"/>
    </xf>
    <xf numFmtId="0" fontId="0" fillId="15" borderId="17" xfId="0" applyFill="1" applyBorder="1" applyAlignment="1">
      <alignment vertical="top" wrapText="1"/>
    </xf>
    <xf numFmtId="0" fontId="0" fillId="15" borderId="19" xfId="0" applyFill="1" applyBorder="1" applyAlignment="1">
      <alignment vertical="top" wrapText="1"/>
    </xf>
    <xf numFmtId="0" fontId="7" fillId="5" borderId="26" xfId="0" applyFont="1" applyFill="1" applyBorder="1" applyAlignment="1" applyProtection="1">
      <alignment horizontal="center"/>
    </xf>
    <xf numFmtId="0" fontId="8" fillId="0" borderId="0" xfId="0" applyFont="1" applyProtection="1"/>
    <xf numFmtId="2" fontId="9" fillId="25" borderId="43" xfId="0" applyNumberFormat="1" applyFont="1" applyFill="1" applyBorder="1" applyAlignment="1" applyProtection="1">
      <alignment horizontal="center"/>
      <protection hidden="1"/>
    </xf>
    <xf numFmtId="165" fontId="9" fillId="25" borderId="43" xfId="0" applyNumberFormat="1" applyFont="1" applyFill="1" applyBorder="1" applyAlignment="1" applyProtection="1">
      <alignment horizontal="center"/>
      <protection hidden="1"/>
    </xf>
    <xf numFmtId="0" fontId="47" fillId="0" borderId="0" xfId="0" applyFont="1" applyBorder="1" applyAlignment="1" applyProtection="1">
      <alignment horizontal="left"/>
    </xf>
    <xf numFmtId="0" fontId="47" fillId="0" borderId="26" xfId="0" applyFont="1" applyBorder="1" applyProtection="1"/>
    <xf numFmtId="0" fontId="0" fillId="0" borderId="31" xfId="0" applyBorder="1" applyAlignment="1" applyProtection="1">
      <alignment horizontal="center"/>
    </xf>
    <xf numFmtId="0" fontId="14" fillId="0" borderId="32" xfId="0" applyFont="1" applyBorder="1" applyProtection="1"/>
    <xf numFmtId="0" fontId="0" fillId="0" borderId="32" xfId="0" applyBorder="1" applyProtection="1"/>
    <xf numFmtId="0" fontId="15" fillId="0" borderId="56" xfId="0" applyFont="1" applyBorder="1" applyAlignment="1" applyProtection="1">
      <alignment horizontal="center" vertical="center" wrapText="1"/>
      <protection locked="0"/>
    </xf>
    <xf numFmtId="0" fontId="9" fillId="0" borderId="39" xfId="0" applyFont="1" applyBorder="1" applyAlignment="1" applyProtection="1">
      <alignment horizontal="center"/>
      <protection hidden="1"/>
    </xf>
    <xf numFmtId="0" fontId="6" fillId="7" borderId="11" xfId="0" applyFont="1" applyFill="1" applyBorder="1" applyAlignment="1" applyProtection="1">
      <alignment horizontal="center"/>
    </xf>
    <xf numFmtId="0" fontId="6" fillId="7" borderId="12" xfId="0" applyFont="1" applyFill="1" applyBorder="1" applyProtection="1"/>
    <xf numFmtId="0" fontId="15" fillId="7" borderId="12" xfId="0" applyFont="1" applyFill="1" applyBorder="1" applyAlignment="1" applyProtection="1">
      <alignment horizontal="center" vertical="center" wrapText="1"/>
      <protection locked="0"/>
    </xf>
    <xf numFmtId="0" fontId="10" fillId="7" borderId="23"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protection hidden="1"/>
    </xf>
    <xf numFmtId="0" fontId="20" fillId="8" borderId="17" xfId="0" applyFont="1" applyFill="1" applyBorder="1" applyProtection="1"/>
    <xf numFmtId="0" fontId="46" fillId="24" borderId="50" xfId="0" applyFont="1" applyFill="1" applyBorder="1" applyAlignment="1" applyProtection="1">
      <alignment horizontal="left" vertical="center" wrapText="1"/>
      <protection hidden="1"/>
    </xf>
    <xf numFmtId="0" fontId="0" fillId="0" borderId="0" xfId="0" applyFill="1" applyProtection="1"/>
    <xf numFmtId="0" fontId="0" fillId="0" borderId="0" xfId="0" applyFill="1" applyBorder="1" applyProtection="1"/>
    <xf numFmtId="0" fontId="20" fillId="0" borderId="0" xfId="0" applyFont="1" applyFill="1" applyProtection="1"/>
    <xf numFmtId="0" fontId="50" fillId="12" borderId="41" xfId="0" applyFont="1" applyFill="1" applyBorder="1" applyAlignment="1">
      <alignment horizontal="center" vertical="center" textRotation="90" wrapText="1" shrinkToFit="1"/>
    </xf>
    <xf numFmtId="0" fontId="14" fillId="0" borderId="30" xfId="0" applyFont="1" applyFill="1" applyBorder="1" applyProtection="1"/>
    <xf numFmtId="0" fontId="6" fillId="0" borderId="0" xfId="0" applyFont="1"/>
    <xf numFmtId="0" fontId="47" fillId="0" borderId="0" xfId="0" applyFont="1" applyBorder="1" applyProtection="1"/>
    <xf numFmtId="0" fontId="0" fillId="0" borderId="0" xfId="0" applyAlignment="1" applyProtection="1">
      <alignment horizontal="right"/>
    </xf>
    <xf numFmtId="0" fontId="7" fillId="0" borderId="0" xfId="0" applyFont="1" applyAlignment="1" applyProtection="1">
      <alignment horizontal="left"/>
    </xf>
    <xf numFmtId="0" fontId="3" fillId="0" borderId="0" xfId="0" applyFont="1" applyAlignment="1" applyProtection="1">
      <alignment wrapText="1"/>
    </xf>
    <xf numFmtId="0" fontId="3" fillId="0" borderId="0" xfId="0" applyFont="1" applyAlignment="1" applyProtection="1">
      <alignment horizontal="center"/>
    </xf>
    <xf numFmtId="0" fontId="3" fillId="0" borderId="0" xfId="0" applyFont="1" applyAlignment="1" applyProtection="1">
      <alignment vertical="center"/>
    </xf>
    <xf numFmtId="0" fontId="7" fillId="0" borderId="0" xfId="0" applyFont="1" applyAlignment="1" applyProtection="1">
      <alignment vertical="center"/>
    </xf>
    <xf numFmtId="0" fontId="7" fillId="0" borderId="57" xfId="0" applyFont="1" applyBorder="1" applyAlignment="1" applyProtection="1">
      <alignment horizontal="center"/>
    </xf>
    <xf numFmtId="2" fontId="7" fillId="0" borderId="4" xfId="0" applyNumberFormat="1" applyFont="1" applyBorder="1" applyAlignment="1" applyProtection="1">
      <alignment horizontal="center"/>
    </xf>
    <xf numFmtId="0" fontId="3" fillId="0" borderId="0" xfId="0" applyFont="1" applyBorder="1" applyAlignment="1" applyProtection="1">
      <alignment horizontal="right" vertical="center"/>
    </xf>
    <xf numFmtId="0" fontId="3" fillId="0" borderId="0" xfId="0" applyFont="1" applyProtection="1"/>
    <xf numFmtId="0" fontId="3" fillId="0" borderId="0" xfId="0" applyFont="1" applyAlignment="1" applyProtection="1">
      <alignment horizontal="right"/>
    </xf>
    <xf numFmtId="0" fontId="17" fillId="0" borderId="0" xfId="0" applyFont="1" applyAlignment="1" applyProtection="1">
      <alignment vertical="top"/>
    </xf>
    <xf numFmtId="0" fontId="7" fillId="5" borderId="13" xfId="0" applyFont="1" applyFill="1" applyBorder="1" applyAlignment="1" applyProtection="1">
      <alignment horizontal="center"/>
    </xf>
    <xf numFmtId="0" fontId="7" fillId="5" borderId="21" xfId="0" applyFont="1" applyFill="1" applyBorder="1" applyAlignment="1" applyProtection="1">
      <alignment horizontal="center"/>
    </xf>
    <xf numFmtId="0" fontId="21" fillId="25" borderId="41" xfId="0" applyFont="1" applyFill="1" applyBorder="1" applyAlignment="1" applyProtection="1">
      <alignment horizontal="center"/>
    </xf>
    <xf numFmtId="0" fontId="7" fillId="5" borderId="0" xfId="0" applyFont="1" applyFill="1" applyBorder="1" applyAlignment="1" applyProtection="1">
      <alignment horizontal="center"/>
    </xf>
    <xf numFmtId="0" fontId="7" fillId="5" borderId="52" xfId="0" applyFont="1" applyFill="1" applyBorder="1" applyAlignment="1" applyProtection="1">
      <alignment horizontal="center"/>
    </xf>
    <xf numFmtId="0" fontId="15" fillId="25" borderId="59" xfId="0" applyFont="1" applyFill="1" applyBorder="1" applyAlignment="1" applyProtection="1">
      <alignment horizontal="center"/>
    </xf>
    <xf numFmtId="0" fontId="9" fillId="25" borderId="60" xfId="0" applyFont="1" applyFill="1" applyBorder="1" applyAlignment="1" applyProtection="1">
      <alignment horizontal="center"/>
      <protection hidden="1"/>
    </xf>
    <xf numFmtId="2" fontId="8" fillId="8" borderId="1" xfId="0" applyNumberFormat="1" applyFont="1" applyFill="1" applyBorder="1" applyAlignment="1" applyProtection="1">
      <alignment horizontal="center"/>
      <protection hidden="1"/>
    </xf>
    <xf numFmtId="0" fontId="15" fillId="8" borderId="23" xfId="0" applyFont="1" applyFill="1" applyBorder="1" applyAlignment="1" applyProtection="1">
      <alignment horizontal="center"/>
    </xf>
    <xf numFmtId="0" fontId="15" fillId="8" borderId="2" xfId="0" applyFont="1" applyFill="1" applyBorder="1" applyAlignment="1" applyProtection="1">
      <alignment horizontal="center"/>
    </xf>
    <xf numFmtId="2" fontId="8" fillId="8" borderId="12" xfId="0" applyNumberFormat="1" applyFont="1" applyFill="1" applyBorder="1" applyAlignment="1" applyProtection="1">
      <alignment horizontal="center"/>
      <protection hidden="1"/>
    </xf>
    <xf numFmtId="2" fontId="8" fillId="8" borderId="17" xfId="0" applyNumberFormat="1" applyFont="1" applyFill="1" applyBorder="1" applyAlignment="1" applyProtection="1">
      <alignment horizontal="center"/>
      <protection hidden="1"/>
    </xf>
    <xf numFmtId="0" fontId="7" fillId="5" borderId="30" xfId="0" applyFont="1" applyFill="1" applyBorder="1" applyAlignment="1" applyProtection="1">
      <alignment horizontal="left"/>
    </xf>
    <xf numFmtId="0" fontId="7" fillId="5" borderId="0" xfId="0" applyFont="1" applyFill="1" applyBorder="1" applyAlignment="1" applyProtection="1">
      <alignment horizontal="left"/>
    </xf>
    <xf numFmtId="0" fontId="15" fillId="8" borderId="18" xfId="0" applyFont="1" applyFill="1" applyBorder="1" applyAlignment="1" applyProtection="1">
      <alignment horizontal="center"/>
    </xf>
    <xf numFmtId="0" fontId="7" fillId="0" borderId="0" xfId="0" applyFont="1" applyProtection="1"/>
    <xf numFmtId="0" fontId="0" fillId="7" borderId="1" xfId="0" applyFont="1" applyFill="1" applyBorder="1" applyProtection="1"/>
    <xf numFmtId="0" fontId="19" fillId="7" borderId="1" xfId="0" applyFont="1" applyFill="1" applyBorder="1" applyProtection="1"/>
    <xf numFmtId="0" fontId="8" fillId="8" borderId="1" xfId="0" applyFont="1" applyFill="1" applyBorder="1" applyAlignment="1" applyProtection="1">
      <alignment horizontal="center"/>
    </xf>
    <xf numFmtId="0" fontId="8" fillId="8" borderId="1" xfId="0" applyFont="1" applyFill="1" applyBorder="1" applyProtection="1"/>
    <xf numFmtId="0" fontId="0" fillId="14" borderId="0" xfId="0" applyFill="1" applyAlignment="1" applyProtection="1">
      <alignment horizontal="left"/>
    </xf>
    <xf numFmtId="0" fontId="7" fillId="4" borderId="0" xfId="0" applyFont="1" applyFill="1" applyAlignment="1" applyProtection="1">
      <alignment horizontal="center"/>
    </xf>
    <xf numFmtId="15" fontId="7" fillId="5" borderId="0" xfId="0" applyNumberFormat="1" applyFont="1" applyFill="1" applyProtection="1"/>
    <xf numFmtId="0" fontId="53" fillId="14" borderId="0" xfId="0" applyFont="1" applyFill="1" applyAlignment="1" applyProtection="1">
      <alignment horizontal="center"/>
    </xf>
    <xf numFmtId="0" fontId="0" fillId="0" borderId="0" xfId="0" applyFill="1"/>
    <xf numFmtId="0" fontId="2" fillId="14" borderId="0" xfId="20" applyFill="1" applyAlignment="1">
      <alignment horizontal="center" vertical="center" wrapText="1"/>
    </xf>
    <xf numFmtId="0" fontId="2" fillId="0" borderId="0" xfId="20" applyAlignment="1">
      <alignment wrapText="1"/>
    </xf>
    <xf numFmtId="0" fontId="2" fillId="0" borderId="0" xfId="20" applyBorder="1" applyAlignment="1">
      <alignment wrapText="1"/>
    </xf>
    <xf numFmtId="0" fontId="55" fillId="0" borderId="0" xfId="20" applyFont="1" applyBorder="1" applyAlignment="1">
      <alignment wrapText="1"/>
    </xf>
    <xf numFmtId="0" fontId="2" fillId="0" borderId="32" xfId="20" applyBorder="1" applyAlignment="1">
      <alignment wrapText="1"/>
    </xf>
    <xf numFmtId="0" fontId="2" fillId="0" borderId="26" xfId="20" applyBorder="1" applyAlignment="1">
      <alignment wrapText="1"/>
    </xf>
    <xf numFmtId="0" fontId="54" fillId="0" borderId="26" xfId="1" applyFont="1" applyBorder="1"/>
    <xf numFmtId="0" fontId="46" fillId="0" borderId="0" xfId="0" applyFont="1" applyBorder="1" applyAlignment="1" applyProtection="1"/>
    <xf numFmtId="0" fontId="14" fillId="0" borderId="26" xfId="0" applyFont="1" applyBorder="1" applyProtection="1"/>
    <xf numFmtId="2" fontId="8" fillId="8" borderId="23" xfId="0" applyNumberFormat="1" applyFont="1" applyFill="1" applyBorder="1" applyAlignment="1" applyProtection="1">
      <alignment horizontal="center"/>
      <protection hidden="1"/>
    </xf>
    <xf numFmtId="2" fontId="8" fillId="8" borderId="2" xfId="0" applyNumberFormat="1" applyFont="1" applyFill="1" applyBorder="1" applyAlignment="1" applyProtection="1">
      <alignment horizontal="center"/>
      <protection hidden="1"/>
    </xf>
    <xf numFmtId="2" fontId="8" fillId="8" borderId="18" xfId="0" applyNumberFormat="1" applyFont="1" applyFill="1" applyBorder="1" applyAlignment="1" applyProtection="1">
      <alignment horizontal="center"/>
      <protection hidden="1"/>
    </xf>
    <xf numFmtId="2" fontId="8" fillId="8" borderId="47" xfId="0" applyNumberFormat="1" applyFont="1" applyFill="1" applyBorder="1" applyAlignment="1" applyProtection="1">
      <alignment horizontal="center"/>
      <protection hidden="1"/>
    </xf>
    <xf numFmtId="2" fontId="8" fillId="8" borderId="48" xfId="0" applyNumberFormat="1" applyFont="1" applyFill="1" applyBorder="1" applyAlignment="1" applyProtection="1">
      <alignment horizontal="center"/>
      <protection hidden="1"/>
    </xf>
    <xf numFmtId="2" fontId="8" fillId="8" borderId="49" xfId="0" applyNumberFormat="1" applyFont="1" applyFill="1" applyBorder="1" applyAlignment="1" applyProtection="1">
      <alignment horizontal="center"/>
      <protection hidden="1"/>
    </xf>
    <xf numFmtId="0" fontId="15" fillId="0" borderId="8" xfId="0" applyFont="1" applyBorder="1" applyProtection="1">
      <protection locked="0"/>
    </xf>
    <xf numFmtId="0" fontId="15" fillId="0" borderId="44" xfId="0" applyFont="1" applyBorder="1" applyProtection="1">
      <protection locked="0"/>
    </xf>
    <xf numFmtId="0" fontId="21" fillId="0" borderId="32" xfId="0" applyFont="1" applyBorder="1" applyProtection="1"/>
    <xf numFmtId="0" fontId="20" fillId="0" borderId="32" xfId="0" applyFont="1" applyBorder="1" applyProtection="1"/>
    <xf numFmtId="0" fontId="14" fillId="0" borderId="0" xfId="0" applyFont="1" applyBorder="1" applyAlignment="1" applyProtection="1">
      <alignment horizontal="right"/>
    </xf>
    <xf numFmtId="2" fontId="9" fillId="25" borderId="60" xfId="0" applyNumberFormat="1" applyFont="1" applyFill="1" applyBorder="1" applyAlignment="1" applyProtection="1">
      <alignment horizontal="center"/>
      <protection hidden="1"/>
    </xf>
    <xf numFmtId="0" fontId="4" fillId="4" borderId="0" xfId="0" applyFont="1" applyFill="1" applyAlignment="1" applyProtection="1">
      <alignment horizontal="center"/>
    </xf>
    <xf numFmtId="0" fontId="0" fillId="3" borderId="0" xfId="0" applyFill="1" applyAlignment="1" applyProtection="1">
      <alignment horizontal="center" wrapText="1"/>
    </xf>
    <xf numFmtId="0" fontId="3" fillId="5" borderId="0" xfId="0" applyFont="1" applyFill="1" applyAlignment="1" applyProtection="1">
      <alignment horizontal="center"/>
    </xf>
    <xf numFmtId="0" fontId="7" fillId="5" borderId="0" xfId="0" applyFont="1" applyFill="1" applyProtection="1"/>
    <xf numFmtId="0" fontId="14" fillId="0" borderId="0" xfId="0" applyFont="1" applyBorder="1" applyAlignment="1" applyProtection="1">
      <alignment horizontal="left" vertical="center" wrapText="1"/>
    </xf>
    <xf numFmtId="0" fontId="14" fillId="0" borderId="58" xfId="0" applyFont="1" applyBorder="1" applyAlignment="1" applyProtection="1">
      <alignment horizontal="left" vertical="center" wrapText="1"/>
    </xf>
    <xf numFmtId="0" fontId="7" fillId="5" borderId="21" xfId="0" applyFont="1" applyFill="1" applyBorder="1" applyAlignment="1" applyProtection="1">
      <alignment horizontal="center" vertical="center"/>
    </xf>
    <xf numFmtId="0" fontId="7" fillId="5" borderId="26"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45" fillId="24" borderId="18" xfId="0" applyFont="1" applyFill="1" applyBorder="1" applyAlignment="1" applyProtection="1">
      <alignment horizontal="left" vertical="center" wrapText="1"/>
    </xf>
    <xf numFmtId="0" fontId="45" fillId="24" borderId="25" xfId="0" applyFont="1" applyFill="1" applyBorder="1" applyAlignment="1" applyProtection="1">
      <alignment horizontal="left" vertical="center" wrapText="1"/>
    </xf>
    <xf numFmtId="0" fontId="4" fillId="5" borderId="21" xfId="0" applyFont="1" applyFill="1" applyBorder="1" applyAlignment="1" applyProtection="1">
      <alignment horizontal="center" vertical="center" textRotation="90" wrapText="1"/>
    </xf>
    <xf numFmtId="0" fontId="4" fillId="5" borderId="30" xfId="0" applyFont="1" applyFill="1" applyBorder="1" applyAlignment="1" applyProtection="1">
      <alignment horizontal="center" vertical="center" textRotation="90" wrapText="1"/>
    </xf>
    <xf numFmtId="0" fontId="4" fillId="5" borderId="31" xfId="0" applyFont="1" applyFill="1" applyBorder="1" applyAlignment="1" applyProtection="1">
      <alignment horizontal="center" vertical="center" textRotation="90" wrapText="1"/>
    </xf>
    <xf numFmtId="0" fontId="45" fillId="24" borderId="2" xfId="0" applyFont="1" applyFill="1" applyBorder="1" applyAlignment="1" applyProtection="1">
      <alignment horizontal="left" vertical="center" wrapText="1"/>
    </xf>
    <xf numFmtId="0" fontId="45" fillId="24" borderId="20" xfId="0" applyFont="1" applyFill="1" applyBorder="1" applyAlignment="1" applyProtection="1">
      <alignment horizontal="left" vertical="center" wrapText="1"/>
    </xf>
    <xf numFmtId="0" fontId="46" fillId="24" borderId="20" xfId="0" applyFont="1" applyFill="1" applyBorder="1" applyAlignment="1" applyProtection="1">
      <alignment horizontal="center" vertical="center" wrapText="1"/>
      <protection hidden="1"/>
    </xf>
    <xf numFmtId="0" fontId="46" fillId="24" borderId="35" xfId="0" applyFont="1" applyFill="1" applyBorder="1" applyAlignment="1" applyProtection="1">
      <alignment horizontal="center" vertical="center" wrapText="1"/>
      <protection hidden="1"/>
    </xf>
    <xf numFmtId="0" fontId="52" fillId="26" borderId="0" xfId="0" applyFont="1" applyFill="1" applyAlignment="1" applyProtection="1">
      <alignment horizontal="center" vertical="center"/>
    </xf>
    <xf numFmtId="0" fontId="52" fillId="26" borderId="0" xfId="0" applyFont="1" applyFill="1" applyBorder="1" applyAlignment="1" applyProtection="1">
      <alignment horizontal="center" vertical="center"/>
    </xf>
    <xf numFmtId="0" fontId="7" fillId="0" borderId="0" xfId="0" applyFont="1" applyFill="1" applyAlignment="1" applyProtection="1">
      <alignment horizontal="center"/>
    </xf>
    <xf numFmtId="0" fontId="34" fillId="2" borderId="3" xfId="0" applyFont="1" applyFill="1" applyBorder="1" applyAlignment="1" applyProtection="1">
      <alignment horizontal="center" vertical="center" wrapText="1"/>
    </xf>
    <xf numFmtId="0" fontId="34" fillId="2" borderId="5" xfId="0" applyFont="1" applyFill="1" applyBorder="1" applyAlignment="1" applyProtection="1">
      <alignment horizontal="center" vertical="center" wrapText="1"/>
    </xf>
    <xf numFmtId="0" fontId="7" fillId="5" borderId="26" xfId="0" applyFont="1" applyFill="1" applyBorder="1" applyAlignment="1" applyProtection="1">
      <alignment horizontal="center"/>
    </xf>
    <xf numFmtId="0" fontId="7" fillId="5" borderId="13" xfId="0" applyFont="1" applyFill="1" applyBorder="1" applyAlignment="1" applyProtection="1">
      <alignment horizontal="center"/>
    </xf>
    <xf numFmtId="0" fontId="21" fillId="25" borderId="30" xfId="0" applyFont="1" applyFill="1" applyBorder="1" applyAlignment="1" applyProtection="1">
      <alignment horizontal="center" vertical="center"/>
    </xf>
    <xf numFmtId="0" fontId="21" fillId="25" borderId="0" xfId="0" applyFont="1" applyFill="1" applyBorder="1" applyAlignment="1" applyProtection="1">
      <alignment horizontal="center" vertical="center"/>
    </xf>
    <xf numFmtId="0" fontId="21" fillId="25" borderId="58" xfId="0" applyFont="1" applyFill="1" applyBorder="1" applyAlignment="1" applyProtection="1">
      <alignment horizontal="center" vertical="center"/>
    </xf>
    <xf numFmtId="0" fontId="21" fillId="25" borderId="31" xfId="0" applyFont="1" applyFill="1" applyBorder="1" applyAlignment="1" applyProtection="1">
      <alignment horizontal="center" vertical="center"/>
    </xf>
    <xf numFmtId="0" fontId="21" fillId="25" borderId="32" xfId="0" applyFont="1" applyFill="1" applyBorder="1" applyAlignment="1" applyProtection="1">
      <alignment horizontal="center" vertical="center"/>
    </xf>
    <xf numFmtId="0" fontId="21" fillId="25" borderId="53" xfId="0" applyFont="1" applyFill="1" applyBorder="1" applyAlignment="1" applyProtection="1">
      <alignment horizontal="center" vertical="center"/>
    </xf>
    <xf numFmtId="0" fontId="21" fillId="25" borderId="31" xfId="0" applyFont="1" applyFill="1" applyBorder="1" applyAlignment="1" applyProtection="1">
      <alignment horizontal="center"/>
    </xf>
    <xf numFmtId="0" fontId="21" fillId="25" borderId="32" xfId="0" applyFont="1" applyFill="1" applyBorder="1" applyAlignment="1" applyProtection="1">
      <alignment horizontal="center"/>
    </xf>
    <xf numFmtId="0" fontId="21" fillId="25" borderId="53" xfId="0" applyFont="1" applyFill="1" applyBorder="1" applyAlignment="1" applyProtection="1">
      <alignment horizontal="center"/>
    </xf>
    <xf numFmtId="0" fontId="21" fillId="8" borderId="54" xfId="0" applyFont="1" applyFill="1" applyBorder="1" applyAlignment="1" applyProtection="1">
      <alignment horizontal="left"/>
    </xf>
    <xf numFmtId="0" fontId="21" fillId="8" borderId="55" xfId="0" applyFont="1" applyFill="1" applyBorder="1" applyAlignment="1" applyProtection="1">
      <alignment horizontal="left"/>
    </xf>
    <xf numFmtId="0" fontId="21" fillId="8" borderId="34" xfId="0" applyFont="1" applyFill="1" applyBorder="1" applyAlignment="1" applyProtection="1">
      <alignment horizontal="left"/>
    </xf>
    <xf numFmtId="0" fontId="21" fillId="8" borderId="10" xfId="0" applyFont="1" applyFill="1" applyBorder="1" applyAlignment="1" applyProtection="1">
      <alignment horizontal="left"/>
    </xf>
    <xf numFmtId="0" fontId="21" fillId="8" borderId="61" xfId="0" applyFont="1" applyFill="1" applyBorder="1" applyAlignment="1" applyProtection="1">
      <alignment horizontal="left"/>
    </xf>
    <xf numFmtId="0" fontId="21" fillId="8" borderId="62" xfId="0" applyFont="1" applyFill="1" applyBorder="1" applyAlignment="1" applyProtection="1">
      <alignment horizontal="left"/>
    </xf>
    <xf numFmtId="0" fontId="28" fillId="0" borderId="27"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29" xfId="0" applyFont="1" applyBorder="1" applyAlignment="1">
      <alignment horizontal="center" vertical="center" wrapText="1"/>
    </xf>
    <xf numFmtId="0" fontId="25" fillId="0" borderId="27" xfId="0" applyFont="1" applyBorder="1" applyAlignment="1">
      <alignment horizontal="center" vertical="center" wrapText="1"/>
    </xf>
    <xf numFmtId="0" fontId="25" fillId="0" borderId="28" xfId="0" applyFont="1" applyBorder="1" applyAlignment="1">
      <alignment horizontal="center" vertical="center" wrapText="1"/>
    </xf>
    <xf numFmtId="0" fontId="25" fillId="0" borderId="29" xfId="0" applyFont="1" applyBorder="1" applyAlignment="1">
      <alignment horizontal="center" vertical="center" wrapText="1"/>
    </xf>
    <xf numFmtId="0" fontId="25" fillId="22" borderId="0" xfId="0" applyFont="1" applyFill="1" applyBorder="1" applyAlignment="1">
      <alignment horizontal="left" vertical="center" wrapText="1"/>
    </xf>
    <xf numFmtId="0" fontId="24" fillId="22" borderId="2" xfId="0" applyFont="1" applyFill="1" applyBorder="1" applyAlignment="1">
      <alignment horizontal="center" vertical="center" wrapText="1"/>
    </xf>
    <xf numFmtId="0" fontId="24" fillId="22" borderId="20" xfId="0" applyFont="1" applyFill="1" applyBorder="1" applyAlignment="1">
      <alignment horizontal="center" vertical="center" wrapText="1"/>
    </xf>
    <xf numFmtId="0" fontId="24" fillId="22" borderId="10" xfId="0" applyFont="1" applyFill="1" applyBorder="1" applyAlignment="1">
      <alignment horizontal="center" vertical="center" wrapText="1"/>
    </xf>
    <xf numFmtId="0" fontId="17" fillId="0" borderId="0" xfId="20" applyFont="1" applyBorder="1" applyAlignment="1">
      <alignment horizontal="center" vertical="center" wrapText="1"/>
    </xf>
    <xf numFmtId="0" fontId="17" fillId="0" borderId="32" xfId="20" applyFont="1" applyBorder="1" applyAlignment="1">
      <alignment horizontal="center" vertical="center" wrapText="1"/>
    </xf>
    <xf numFmtId="0" fontId="17" fillId="0" borderId="26" xfId="20" applyFont="1" applyBorder="1" applyAlignment="1">
      <alignment horizontal="center" vertical="center" wrapText="1"/>
    </xf>
    <xf numFmtId="0" fontId="17" fillId="0" borderId="0" xfId="20" applyFont="1" applyAlignment="1">
      <alignment horizontal="center" vertical="center" wrapText="1"/>
    </xf>
    <xf numFmtId="0" fontId="21" fillId="0" borderId="11" xfId="0" applyFont="1" applyBorder="1" applyAlignment="1" applyProtection="1">
      <alignment horizontal="center"/>
      <protection locked="0"/>
    </xf>
    <xf numFmtId="0" fontId="21" fillId="0" borderId="12" xfId="0" applyFont="1" applyBorder="1" applyAlignment="1" applyProtection="1">
      <alignment horizontal="center"/>
      <protection locked="0"/>
    </xf>
    <xf numFmtId="0" fontId="21" fillId="0" borderId="22" xfId="0" applyFont="1" applyBorder="1" applyAlignment="1" applyProtection="1">
      <alignment horizontal="center"/>
      <protection locked="0"/>
    </xf>
    <xf numFmtId="0" fontId="21" fillId="0" borderId="14" xfId="0" applyFont="1" applyBorder="1" applyAlignment="1" applyProtection="1">
      <alignment horizontal="center"/>
      <protection locked="0"/>
    </xf>
    <xf numFmtId="0" fontId="21" fillId="0" borderId="1" xfId="0" applyFont="1" applyBorder="1" applyAlignment="1" applyProtection="1">
      <alignment horizontal="center"/>
      <protection locked="0"/>
    </xf>
    <xf numFmtId="0" fontId="21" fillId="0" borderId="15" xfId="0" applyFont="1" applyBorder="1" applyAlignment="1" applyProtection="1">
      <alignment horizontal="center"/>
      <protection locked="0"/>
    </xf>
    <xf numFmtId="0" fontId="21" fillId="0" borderId="16" xfId="0" applyFont="1" applyBorder="1" applyAlignment="1" applyProtection="1">
      <alignment horizontal="center"/>
      <protection locked="0"/>
    </xf>
    <xf numFmtId="0" fontId="21" fillId="0" borderId="17" xfId="0" applyFont="1" applyBorder="1" applyAlignment="1" applyProtection="1">
      <alignment horizontal="center"/>
      <protection locked="0"/>
    </xf>
    <xf numFmtId="0" fontId="21" fillId="0" borderId="19" xfId="0" applyFont="1" applyBorder="1" applyAlignment="1" applyProtection="1">
      <alignment horizontal="center"/>
      <protection locked="0"/>
    </xf>
  </cellXfs>
  <cellStyles count="26">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Hyperlink" xfId="2" builtinId="8"/>
    <cellStyle name="Normal" xfId="0" builtinId="0"/>
    <cellStyle name="Normal 2" xfId="1"/>
    <cellStyle name="Normal 3" xfId="20"/>
  </cellStyles>
  <dxfs count="7">
    <dxf>
      <font>
        <color theme="9" tint="0.39994506668294322"/>
      </font>
    </dxf>
    <dxf>
      <font>
        <color theme="0"/>
      </font>
    </dxf>
    <dxf>
      <font>
        <color theme="0"/>
      </font>
    </dxf>
    <dxf>
      <font>
        <color theme="9" tint="0.39994506668294322"/>
      </font>
    </dxf>
    <dxf>
      <font>
        <color theme="9" tint="0.39994506668294322"/>
      </font>
    </dxf>
    <dxf>
      <font>
        <color theme="9" tint="0.39994506668294322"/>
      </font>
    </dxf>
    <dxf>
      <font>
        <color theme="9" tint="0.39994506668294322"/>
      </font>
    </dxf>
  </dxfs>
  <tableStyles count="0" defaultTableStyle="TableStyleMedium2" defaultPivotStyle="PivotStyleLight16"/>
  <colors>
    <mruColors>
      <color rgb="FF007635"/>
      <color rgb="FFF7F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hanhvancao/Dropbox/ASC_SocialRisk/1_SocialRiskIndex/ASC_SocialAuditRiskCalculator_Rev1FM_1Nov18_Unlocke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SocialRiskCal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4" Type="http://schemas.openxmlformats.org/officeDocument/2006/relationships/comments" Target="../comments4.xml"/><Relationship Id="rId1" Type="http://schemas.openxmlformats.org/officeDocument/2006/relationships/hyperlink" Target="http://www.transparency.org/" TargetMode="External"/><Relationship Id="rId2" Type="http://schemas.openxmlformats.org/officeDocument/2006/relationships/hyperlink" Target="https://www.state.gov/documents/organization/271339.pdf" TargetMode="Externa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theme="9" tint="0.39997558519241921"/>
  </sheetPr>
  <dimension ref="A1:N30"/>
  <sheetViews>
    <sheetView zoomScale="125" zoomScaleNormal="125" zoomScalePageLayoutView="125" workbookViewId="0">
      <selection activeCell="D26" sqref="D26"/>
    </sheetView>
  </sheetViews>
  <sheetFormatPr baseColWidth="10" defaultColWidth="8.83203125" defaultRowHeight="14" x14ac:dyDescent="0"/>
  <cols>
    <col min="1" max="1" width="9.6640625" style="3" customWidth="1"/>
    <col min="2" max="2" width="19.6640625" style="3" customWidth="1"/>
    <col min="3" max="3" width="62.83203125" style="4" customWidth="1"/>
    <col min="4" max="4" width="19.5" style="4" customWidth="1"/>
    <col min="5" max="5" width="21.1640625" style="4" customWidth="1"/>
    <col min="6" max="6" width="22" style="4" customWidth="1"/>
    <col min="7" max="7" width="24.1640625" style="4" customWidth="1"/>
    <col min="8" max="8" width="12.6640625" style="3" customWidth="1"/>
    <col min="9" max="9" width="29.33203125" style="5" customWidth="1"/>
    <col min="10" max="13" width="8.83203125" style="4"/>
    <col min="14" max="14" width="8.83203125" style="339"/>
    <col min="15" max="16384" width="8.83203125" style="4"/>
  </cols>
  <sheetData>
    <row r="1" spans="1:14" ht="18">
      <c r="A1" s="363" t="s">
        <v>509</v>
      </c>
      <c r="B1" s="6"/>
      <c r="C1" s="388" t="s">
        <v>471</v>
      </c>
      <c r="D1" s="388"/>
      <c r="E1" s="388"/>
      <c r="F1" s="388"/>
      <c r="G1" s="389" t="s">
        <v>12</v>
      </c>
      <c r="H1" s="331"/>
      <c r="I1" s="332"/>
    </row>
    <row r="2" spans="1:14" ht="15" customHeight="1">
      <c r="A2" s="364">
        <v>43487</v>
      </c>
      <c r="B2" s="169"/>
      <c r="C2" s="390"/>
      <c r="D2" s="390"/>
      <c r="E2" s="390"/>
      <c r="F2" s="390"/>
      <c r="G2" s="389"/>
      <c r="H2" s="331"/>
      <c r="I2" s="332"/>
    </row>
    <row r="3" spans="1:14" ht="15" customHeight="1">
      <c r="A3" s="12" t="s">
        <v>14</v>
      </c>
      <c r="B3" s="7"/>
      <c r="C3" s="330"/>
      <c r="H3" s="333"/>
      <c r="I3" s="332"/>
    </row>
    <row r="4" spans="1:14" ht="15" customHeight="1">
      <c r="A4" s="8"/>
      <c r="B4" s="8"/>
      <c r="C4" s="329" t="s">
        <v>490</v>
      </c>
      <c r="G4" s="3"/>
      <c r="H4" s="332" t="str">
        <f>IF(G5="","Additional site estimation not valid unless YES or NO selected","")</f>
        <v/>
      </c>
      <c r="I4" s="332"/>
      <c r="N4" s="357" t="s">
        <v>475</v>
      </c>
    </row>
    <row r="5" spans="1:14" ht="15" customHeight="1">
      <c r="B5" s="8"/>
      <c r="C5" s="9" t="s">
        <v>504</v>
      </c>
      <c r="G5" s="1" t="s">
        <v>0</v>
      </c>
      <c r="H5" s="332"/>
      <c r="I5" s="332"/>
    </row>
    <row r="6" spans="1:14" ht="15" customHeight="1">
      <c r="B6" s="10"/>
      <c r="C6" s="11" t="s">
        <v>503</v>
      </c>
      <c r="G6" s="2">
        <v>100</v>
      </c>
      <c r="H6" s="333"/>
      <c r="I6" s="332"/>
      <c r="N6" s="339" t="s">
        <v>484</v>
      </c>
    </row>
    <row r="7" spans="1:14" ht="15" customHeight="1">
      <c r="B7" s="12"/>
      <c r="C7" s="9" t="s">
        <v>505</v>
      </c>
      <c r="G7" s="2">
        <v>0</v>
      </c>
      <c r="H7" s="334"/>
      <c r="I7" s="335" t="str">
        <f>IF(G5="Yes","",IF(G6-G7&gt;H27,"Actual site increment exceeds permited allowance",""))</f>
        <v/>
      </c>
      <c r="N7" s="339" t="s">
        <v>483</v>
      </c>
    </row>
    <row r="8" spans="1:14" ht="15" customHeight="1">
      <c r="A8" s="198" t="s">
        <v>472</v>
      </c>
      <c r="H8" s="334"/>
      <c r="I8" s="332"/>
    </row>
    <row r="9" spans="1:14" ht="15" customHeight="1">
      <c r="A9" s="25"/>
      <c r="B9" s="169"/>
      <c r="C9" s="391" t="s">
        <v>508</v>
      </c>
      <c r="D9" s="391"/>
      <c r="E9" s="391"/>
      <c r="F9" s="391"/>
      <c r="G9" s="14"/>
      <c r="H9" s="334"/>
      <c r="I9" s="332"/>
    </row>
    <row r="10" spans="1:14" ht="15" customHeight="1" thickBot="1">
      <c r="A10" s="14" t="s">
        <v>10</v>
      </c>
      <c r="B10" s="206" t="s">
        <v>17</v>
      </c>
      <c r="C10" s="25" t="s">
        <v>493</v>
      </c>
      <c r="D10" s="14" t="s">
        <v>5</v>
      </c>
      <c r="E10" s="14" t="s">
        <v>6</v>
      </c>
      <c r="F10" s="14" t="s">
        <v>7</v>
      </c>
      <c r="G10" s="14" t="s">
        <v>15</v>
      </c>
      <c r="H10" s="334" t="s">
        <v>11</v>
      </c>
      <c r="I10" s="332"/>
    </row>
    <row r="11" spans="1:14" ht="15" customHeight="1">
      <c r="A11" s="19">
        <v>1</v>
      </c>
      <c r="B11" s="166" t="s">
        <v>415</v>
      </c>
      <c r="C11" s="358" t="s">
        <v>317</v>
      </c>
      <c r="D11" s="21">
        <v>5</v>
      </c>
      <c r="E11" s="21">
        <v>10</v>
      </c>
      <c r="F11" s="165">
        <f>SUM(E11:E23)-SUM(D12:D23)+1</f>
        <v>39</v>
      </c>
      <c r="G11" s="1" t="s">
        <v>3</v>
      </c>
      <c r="H11" s="336">
        <f t="shared" ref="H11:H22" si="0">INDEX($A$10:$F$23,MATCH($A11,$A$10:$A$23),MATCH($G11,$A$10:$F$10,0))</f>
        <v>10</v>
      </c>
      <c r="I11" s="334" t="str">
        <f>IF(ISBLANK(G11),"Sample size not valid unless HIGH, MEDIUM or LOW selected","")</f>
        <v/>
      </c>
    </row>
    <row r="12" spans="1:14" ht="15" customHeight="1">
      <c r="A12" s="19">
        <v>2</v>
      </c>
      <c r="B12" s="166" t="s">
        <v>415</v>
      </c>
      <c r="C12" s="359" t="s">
        <v>318</v>
      </c>
      <c r="D12" s="21">
        <v>8</v>
      </c>
      <c r="E12" s="21">
        <v>10</v>
      </c>
      <c r="F12" s="165">
        <f>SUM(E11:E23)-SUM(D13:D23)-D11+1</f>
        <v>42</v>
      </c>
      <c r="G12" s="1" t="s">
        <v>3</v>
      </c>
      <c r="H12" s="336">
        <f t="shared" si="0"/>
        <v>10</v>
      </c>
      <c r="I12" s="334" t="str">
        <f t="shared" ref="I12:I23" si="1">IF(ISBLANK(G12),"Sample size not valid unless HIGH, MEDIUM or LOW selected","")</f>
        <v/>
      </c>
    </row>
    <row r="13" spans="1:14" ht="15" customHeight="1">
      <c r="A13" s="166">
        <v>3</v>
      </c>
      <c r="B13" s="166" t="s">
        <v>415</v>
      </c>
      <c r="C13" s="358" t="s">
        <v>319</v>
      </c>
      <c r="D13" s="18">
        <v>8</v>
      </c>
      <c r="E13" s="18">
        <v>10</v>
      </c>
      <c r="F13" s="18">
        <v>12</v>
      </c>
      <c r="G13" s="1" t="s">
        <v>3</v>
      </c>
      <c r="H13" s="336">
        <f t="shared" si="0"/>
        <v>10</v>
      </c>
      <c r="I13" s="334" t="str">
        <f t="shared" si="1"/>
        <v/>
      </c>
    </row>
    <row r="14" spans="1:14" ht="15" customHeight="1">
      <c r="A14" s="166">
        <v>4</v>
      </c>
      <c r="B14" s="166" t="s">
        <v>415</v>
      </c>
      <c r="C14" s="358" t="s">
        <v>320</v>
      </c>
      <c r="D14" s="18">
        <v>8</v>
      </c>
      <c r="E14" s="18">
        <v>10</v>
      </c>
      <c r="F14" s="18">
        <v>12</v>
      </c>
      <c r="G14" s="1" t="s">
        <v>3</v>
      </c>
      <c r="H14" s="336">
        <f t="shared" si="0"/>
        <v>10</v>
      </c>
      <c r="I14" s="334" t="str">
        <f t="shared" si="1"/>
        <v/>
      </c>
    </row>
    <row r="15" spans="1:14" ht="15" customHeight="1">
      <c r="A15" s="166">
        <v>5</v>
      </c>
      <c r="B15" s="166" t="s">
        <v>415</v>
      </c>
      <c r="C15" s="358" t="s">
        <v>321</v>
      </c>
      <c r="D15" s="18">
        <v>9</v>
      </c>
      <c r="E15" s="18">
        <v>10</v>
      </c>
      <c r="F15" s="18">
        <v>11</v>
      </c>
      <c r="G15" s="1" t="s">
        <v>3</v>
      </c>
      <c r="H15" s="336">
        <f t="shared" si="0"/>
        <v>10</v>
      </c>
      <c r="I15" s="334" t="str">
        <f t="shared" si="1"/>
        <v/>
      </c>
    </row>
    <row r="16" spans="1:14" ht="15" customHeight="1">
      <c r="A16" s="166">
        <v>6</v>
      </c>
      <c r="B16" s="166" t="s">
        <v>415</v>
      </c>
      <c r="C16" s="358" t="s">
        <v>322</v>
      </c>
      <c r="D16" s="18">
        <v>7</v>
      </c>
      <c r="E16" s="18">
        <v>10</v>
      </c>
      <c r="F16" s="18">
        <v>13</v>
      </c>
      <c r="G16" s="1" t="s">
        <v>3</v>
      </c>
      <c r="H16" s="336">
        <f t="shared" si="0"/>
        <v>10</v>
      </c>
      <c r="I16" s="334" t="str">
        <f t="shared" si="1"/>
        <v/>
      </c>
    </row>
    <row r="17" spans="1:14" ht="15" customHeight="1">
      <c r="A17" s="166">
        <v>7</v>
      </c>
      <c r="B17" s="166" t="s">
        <v>415</v>
      </c>
      <c r="C17" s="358" t="s">
        <v>323</v>
      </c>
      <c r="D17" s="18">
        <v>7</v>
      </c>
      <c r="E17" s="18">
        <v>10</v>
      </c>
      <c r="F17" s="18">
        <v>13</v>
      </c>
      <c r="G17" s="1" t="s">
        <v>3</v>
      </c>
      <c r="H17" s="336">
        <f t="shared" si="0"/>
        <v>10</v>
      </c>
      <c r="I17" s="334" t="str">
        <f t="shared" si="1"/>
        <v/>
      </c>
    </row>
    <row r="18" spans="1:14" ht="15" customHeight="1">
      <c r="A18" s="166">
        <v>8</v>
      </c>
      <c r="B18" s="166" t="s">
        <v>415</v>
      </c>
      <c r="C18" s="358" t="s">
        <v>324</v>
      </c>
      <c r="D18" s="18">
        <v>8</v>
      </c>
      <c r="E18" s="18">
        <v>10</v>
      </c>
      <c r="F18" s="18">
        <v>12</v>
      </c>
      <c r="G18" s="1" t="s">
        <v>3</v>
      </c>
      <c r="H18" s="336">
        <f t="shared" si="0"/>
        <v>10</v>
      </c>
      <c r="I18" s="334" t="str">
        <f t="shared" si="1"/>
        <v/>
      </c>
    </row>
    <row r="19" spans="1:14" ht="15" customHeight="1">
      <c r="A19" s="166">
        <v>9</v>
      </c>
      <c r="B19" s="166" t="s">
        <v>415</v>
      </c>
      <c r="C19" s="358" t="s">
        <v>325</v>
      </c>
      <c r="D19" s="18">
        <v>5</v>
      </c>
      <c r="E19" s="18">
        <v>10</v>
      </c>
      <c r="F19" s="18">
        <v>15</v>
      </c>
      <c r="G19" s="1" t="s">
        <v>3</v>
      </c>
      <c r="H19" s="336">
        <f t="shared" si="0"/>
        <v>10</v>
      </c>
      <c r="I19" s="334" t="str">
        <f t="shared" si="1"/>
        <v/>
      </c>
    </row>
    <row r="20" spans="1:14" ht="15" customHeight="1">
      <c r="A20" s="166">
        <v>10</v>
      </c>
      <c r="B20" s="166" t="s">
        <v>415</v>
      </c>
      <c r="C20" s="358" t="s">
        <v>9</v>
      </c>
      <c r="D20" s="18">
        <v>7</v>
      </c>
      <c r="E20" s="18">
        <v>10</v>
      </c>
      <c r="F20" s="18">
        <v>13</v>
      </c>
      <c r="G20" s="1" t="s">
        <v>3</v>
      </c>
      <c r="H20" s="336">
        <f t="shared" si="0"/>
        <v>10</v>
      </c>
      <c r="I20" s="334" t="str">
        <f t="shared" si="1"/>
        <v/>
      </c>
    </row>
    <row r="21" spans="1:14" ht="15" customHeight="1">
      <c r="A21" s="19">
        <v>11</v>
      </c>
      <c r="B21" s="166" t="s">
        <v>415</v>
      </c>
      <c r="C21" s="358" t="s">
        <v>326</v>
      </c>
      <c r="D21" s="21">
        <v>9</v>
      </c>
      <c r="E21" s="21">
        <v>10</v>
      </c>
      <c r="F21" s="165">
        <f>SUM(E11:E23)-SUM(D11:D20)-SUM(D22:D23)+1</f>
        <v>43</v>
      </c>
      <c r="G21" s="1" t="s">
        <v>3</v>
      </c>
      <c r="H21" s="336">
        <f t="shared" si="0"/>
        <v>10</v>
      </c>
      <c r="I21" s="334" t="str">
        <f t="shared" si="1"/>
        <v/>
      </c>
    </row>
    <row r="22" spans="1:14" ht="15" customHeight="1">
      <c r="A22" s="166">
        <v>12</v>
      </c>
      <c r="B22" s="166" t="s">
        <v>415</v>
      </c>
      <c r="C22" s="167" t="s">
        <v>327</v>
      </c>
      <c r="D22" s="18">
        <v>6</v>
      </c>
      <c r="E22" s="18">
        <v>10</v>
      </c>
      <c r="F22" s="18">
        <v>14</v>
      </c>
      <c r="G22" s="1" t="s">
        <v>3</v>
      </c>
      <c r="H22" s="336">
        <f t="shared" si="0"/>
        <v>10</v>
      </c>
      <c r="I22" s="334" t="str">
        <f t="shared" si="1"/>
        <v/>
      </c>
    </row>
    <row r="23" spans="1:14" ht="15" customHeight="1">
      <c r="A23" s="360">
        <v>13</v>
      </c>
      <c r="B23" s="360" t="s">
        <v>348</v>
      </c>
      <c r="C23" s="361" t="s">
        <v>328</v>
      </c>
      <c r="D23" s="24">
        <f>IF($G$5="YES",0,0)</f>
        <v>0</v>
      </c>
      <c r="E23" s="24">
        <f>IF($G$5="YES",0,0)</f>
        <v>0</v>
      </c>
      <c r="F23" s="24">
        <f>IF($G$5="YES",0,0)</f>
        <v>0</v>
      </c>
      <c r="G23" s="1" t="s">
        <v>3</v>
      </c>
      <c r="H23" s="336">
        <f t="shared" ref="H23" si="2">INDEX($A$10:$F$23,MATCH($A23,$A$10:$A$23),MATCH($G23,$A$10:$F$10,0))</f>
        <v>0</v>
      </c>
      <c r="I23" s="334" t="str">
        <f t="shared" si="1"/>
        <v/>
      </c>
      <c r="N23" s="339" t="s">
        <v>483</v>
      </c>
    </row>
    <row r="24" spans="1:14">
      <c r="C24" s="338" t="s">
        <v>488</v>
      </c>
      <c r="D24" s="339"/>
      <c r="E24" s="16" t="s">
        <v>329</v>
      </c>
      <c r="F24" s="16"/>
      <c r="G24" s="17">
        <v>46</v>
      </c>
      <c r="H24" s="336">
        <f>SUM(H11:H23)</f>
        <v>120</v>
      </c>
      <c r="I24" s="332" t="s">
        <v>330</v>
      </c>
    </row>
    <row r="25" spans="1:14" ht="15" customHeight="1">
      <c r="C25" s="338" t="s">
        <v>489</v>
      </c>
      <c r="D25" s="339"/>
      <c r="E25" s="16" t="s">
        <v>331</v>
      </c>
      <c r="F25" s="16"/>
      <c r="G25" s="17">
        <v>66</v>
      </c>
      <c r="H25" s="337">
        <f>IF(H24&gt;=SUM(E11:E23),1+(H24-SUM(E11:E23))/G24,1+(H24-SUM(E11:E23))/G25)</f>
        <v>1</v>
      </c>
      <c r="I25" s="332" t="s">
        <v>332</v>
      </c>
    </row>
    <row r="26" spans="1:14" ht="15" customHeight="1">
      <c r="A26" s="365" t="s">
        <v>510</v>
      </c>
      <c r="B26" s="362" t="s">
        <v>506</v>
      </c>
      <c r="C26" s="340" t="s">
        <v>13</v>
      </c>
      <c r="D26" s="339"/>
      <c r="E26" s="16"/>
      <c r="F26" s="16" t="s">
        <v>13</v>
      </c>
      <c r="G26" s="17">
        <v>2</v>
      </c>
      <c r="H26" s="13">
        <f>IF(G5="YES",G6,(IF(AND(G$5="NO",G6^(1/G$26)*H$25&gt;=G6),G6,IF(AND(G5="NO",G6^(1/G$26)*H$25&lt;G6),ROUNDUP(G6^(1/G$26)*H$25,0)))))</f>
        <v>100</v>
      </c>
      <c r="I26" s="8" t="s">
        <v>491</v>
      </c>
    </row>
    <row r="27" spans="1:14">
      <c r="E27" s="16"/>
      <c r="F27" s="16"/>
      <c r="G27" s="16"/>
      <c r="H27" s="13">
        <f>IF(G5="Yes",0,IF(G7*10%&lt;=5,ROUNDUP(G7*10%,0),5))</f>
        <v>0</v>
      </c>
      <c r="I27" s="8" t="s">
        <v>492</v>
      </c>
      <c r="N27" s="339" t="s">
        <v>483</v>
      </c>
    </row>
    <row r="28" spans="1:14">
      <c r="E28" s="16"/>
      <c r="F28" s="16"/>
      <c r="G28" s="16"/>
    </row>
    <row r="29" spans="1:14">
      <c r="E29" s="16"/>
      <c r="F29" s="16"/>
      <c r="G29" s="16"/>
    </row>
    <row r="30" spans="1:14">
      <c r="E30" s="16"/>
      <c r="F30" s="16"/>
      <c r="G30" s="16"/>
    </row>
  </sheetData>
  <customSheetViews>
    <customSheetView guid="{B86257EE-0156-41F8-B4C2-E78E8DECB83A}">
      <selection activeCell="B32" sqref="B32"/>
      <pageSetup paperSize="9" orientation="portrait"/>
    </customSheetView>
    <customSheetView guid="{033A95D0-94F2-0942-BC86-50E37364F610}">
      <selection activeCell="B32" sqref="B32"/>
      <pageSetup paperSize="9" orientation="portrait"/>
    </customSheetView>
  </customSheetViews>
  <mergeCells count="4">
    <mergeCell ref="C1:F1"/>
    <mergeCell ref="G1:G2"/>
    <mergeCell ref="C2:F2"/>
    <mergeCell ref="C9:F9"/>
  </mergeCells>
  <dataValidations disablePrompts="1" xWindow="661" yWindow="634" count="5">
    <dataValidation type="list" allowBlank="1" showInputMessage="1" showErrorMessage="1" sqref="G11:G23">
      <formula1>HML</formula1>
    </dataValidation>
    <dataValidation type="list" allowBlank="1" showInputMessage="1" showErrorMessage="1" prompt="Select 'YES' if this is the client's operation's first multi-site audit. This will automatically result in a 100% sample size." sqref="G5">
      <formula1>Initial_audit_response</formula1>
    </dataValidation>
    <dataValidation allowBlank="1" showInputMessage="1" showErrorMessage="1" prompt="Lowering this score _x000a_increases the sample size estimation for higher risk scenarios (SRS &gt;= 120 (initial audit) or 130)" sqref="G24"/>
    <dataValidation allowBlank="1" showInputMessage="1" showErrorMessage="1" prompt="Increasing this score increases the sample size estimation for lower risk scenarios (SRS &lt; 120 (initial audit) or 130)" sqref="G25"/>
    <dataValidation allowBlank="1" showInputMessage="1" showErrorMessage="1" prompt="Enter a value from &gt;1 to 2 (SQRT) - increasing this value will lower the sample-size for higher, relative to lower total numbers of workers accross the UoC." sqref="G26"/>
  </dataValidation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rgb="FF92D050"/>
  </sheetPr>
  <dimension ref="A1:P73"/>
  <sheetViews>
    <sheetView showGridLines="0" tabSelected="1" workbookViewId="0">
      <selection activeCell="F7" sqref="F7"/>
    </sheetView>
  </sheetViews>
  <sheetFormatPr baseColWidth="10" defaultColWidth="8.83203125" defaultRowHeight="15" customHeight="1" x14ac:dyDescent="0"/>
  <cols>
    <col min="1" max="1" width="2.33203125" style="3" customWidth="1"/>
    <col min="2" max="2" width="24.5" style="3" customWidth="1"/>
    <col min="3" max="3" width="3.5" style="3" customWidth="1"/>
    <col min="4" max="4" width="68.5" style="4" customWidth="1"/>
    <col min="5" max="5" width="31.5" style="4" customWidth="1"/>
    <col min="6" max="6" width="23" style="4" customWidth="1"/>
    <col min="7" max="7" width="22.33203125" style="4" customWidth="1"/>
    <col min="8" max="8" width="15.1640625" style="4" customWidth="1"/>
    <col min="9" max="9" width="17" style="3" customWidth="1"/>
    <col min="10" max="10" width="40" style="26" customWidth="1"/>
    <col min="11" max="11" width="46.5" style="4" customWidth="1"/>
    <col min="12" max="12" width="43.6640625" style="4" customWidth="1"/>
    <col min="13" max="13" width="51.5" style="4" customWidth="1"/>
    <col min="14" max="14" width="39.5" style="4" customWidth="1"/>
    <col min="15" max="15" width="14" style="4" bestFit="1" customWidth="1"/>
    <col min="16" max="16384" width="8.83203125" style="4"/>
  </cols>
  <sheetData>
    <row r="1" spans="1:16" ht="21" customHeight="1" thickBot="1">
      <c r="H1" s="197" t="s">
        <v>640</v>
      </c>
      <c r="P1" s="143"/>
    </row>
    <row r="2" spans="1:16" ht="18">
      <c r="A2" s="408"/>
      <c r="B2" s="408"/>
      <c r="C2" s="408"/>
      <c r="D2" s="408"/>
      <c r="E2" s="408"/>
      <c r="F2" s="408"/>
      <c r="H2" s="399" t="s">
        <v>466</v>
      </c>
      <c r="I2" s="268" t="s">
        <v>444</v>
      </c>
      <c r="J2" s="287" t="s">
        <v>486</v>
      </c>
      <c r="K2" s="287" t="s">
        <v>485</v>
      </c>
      <c r="L2" s="288" t="s">
        <v>487</v>
      </c>
      <c r="P2" s="143"/>
    </row>
    <row r="3" spans="1:16" ht="23">
      <c r="A3" s="4"/>
      <c r="B3" s="406" t="s">
        <v>639</v>
      </c>
      <c r="C3" s="406"/>
      <c r="D3" s="406"/>
      <c r="E3" s="406"/>
      <c r="F3" s="406"/>
      <c r="G3" s="407"/>
      <c r="H3" s="400"/>
      <c r="I3" s="196" t="s">
        <v>416</v>
      </c>
      <c r="J3" s="200" t="str">
        <f>IF(H41&gt;E46,'Audit risk analysis'!E9,INDEX('Audit risk analysis'!$C5:$I9,MATCH($F12,'Audit risk analysis'!$D5:$D9,0),3))</f>
        <v>Community only</v>
      </c>
      <c r="K3" s="200" t="str">
        <f>IF(H42&gt;E46,'Audit risk analysis'!E12,INDEX('Audit risk analysis'!$C10:$I12,MATCH($G17,'Audit risk analysis'!$C10:$C12,0),3))</f>
        <v>Skip indicators related to labour contractors</v>
      </c>
      <c r="L3" s="269" t="str">
        <f>IF(H43&gt;E46,'Audit risk analysis'!E15,INDEX('Audit risk analysis'!$C13:$I15,MATCH($G$21,'Audit risk analysis'!$C13:$C15,0),3))</f>
        <v>Not all Community Rights indicators (tbc)</v>
      </c>
      <c r="P3" s="143"/>
    </row>
    <row r="4" spans="1:16" ht="30">
      <c r="A4" s="4"/>
      <c r="C4" s="216"/>
      <c r="H4" s="400"/>
      <c r="I4" s="196" t="s">
        <v>417</v>
      </c>
      <c r="J4" s="200" t="str">
        <f>IF(H41&gt;E46,'Audit risk analysis'!F9,IF(NOT($F$12="SA8000"),INDEX('Audit risk analysis'!$C5:$I9,MATCH($F$12,'Audit risk analysis'!$D5:$D9,0),4),INDEX('Audit risk analysis'!$C$16:$I$18,MATCH($H$53,'Audit risk analysis'!$D$16:$D$18,0),4)))</f>
        <v>1x per cycle (exc. country-specific issues)</v>
      </c>
      <c r="K4" s="200" t="str">
        <f>IF(H42&gt;E46,'Audit risk analysis'!F12,IF($G$17&gt;1,INDEX('Audit risk analysis'!$C10:$I12,MATCH($G$17,'Audit risk analysis'!$C10:$C12,0),4),INDEX('Audit risk analysis'!$C$16:$I$18,MATCH($H$53,'Audit risk analysis'!$D$16:$D$18,0),4)))</f>
        <v>1x per cycle (exc. country-specific issues)</v>
      </c>
      <c r="L4" s="269" t="str">
        <f>IF(H43&gt;E46,'Audit risk analysis'!F15,IF($G$21&gt;1,INDEX('Audit risk analysis'!$C13:$I15,MATCH($G$21,'Audit risk analysis'!$C13:$C15,0),4),INDEX('Audit risk analysis'!$C$16:$I$18,MATCH($H$53,'Audit risk analysis'!$D$16:$D$18,0),4)))</f>
        <v>1x per cycle (exc. country-specific issues)</v>
      </c>
      <c r="P4" s="143"/>
    </row>
    <row r="5" spans="1:16" ht="31.5" customHeight="1">
      <c r="B5" s="216" t="s">
        <v>495</v>
      </c>
      <c r="C5" s="217"/>
      <c r="F5" s="409" t="s">
        <v>12</v>
      </c>
      <c r="H5" s="400"/>
      <c r="I5" s="196" t="s">
        <v>418</v>
      </c>
      <c r="J5" s="200" t="str">
        <f>IF(H41&gt;E46,"On-site",IF(AND(INDEX('Audit risk analysis'!$C5:$I9,MATCH($F12,'Audit risk analysis'!$D5:$D9,0),1)=1,$I$57&lt;=SUM($E$50:$E$56)),"Remote","On-site"))</f>
        <v>Remote</v>
      </c>
      <c r="K5" s="200" t="str">
        <f>IF(H42&gt;E46,'Audit risk analysis'!H9,IF(AND(INDEX('Audit risk analysis'!$C10:$I12,MATCH($G$17,'Audit risk analysis'!$C10:$C12,0),1)=1,$I$57&lt;=SUM($E$50:$E$56)),"On-site","On-site"))</f>
        <v>On-site</v>
      </c>
      <c r="L5" s="269" t="str">
        <f>IF(H43&gt;E46,"On-site",IF(AND(INDEX('Audit risk analysis'!$C13:$I15,MATCH($G$21,'Audit risk analysis'!$C13:$C15,0),1)=1,$I$57&lt;=SUM($E$50:$E$56)),"On-site","On-site"))</f>
        <v>On-site</v>
      </c>
      <c r="P5" s="143"/>
    </row>
    <row r="6" spans="1:16" ht="45" customHeight="1">
      <c r="A6" s="4"/>
      <c r="B6" s="341" t="s">
        <v>14</v>
      </c>
      <c r="C6" s="218"/>
      <c r="F6" s="410"/>
      <c r="H6" s="400"/>
      <c r="I6" s="208" t="s">
        <v>419</v>
      </c>
      <c r="J6" s="201" t="str">
        <f>IF(H41&gt;E46,'Audit risk analysis'!I9,INDEX('Audit risk analysis'!$C5:$I9,MATCH($F12,'Audit risk analysis'!$D5:$D9,0),7))</f>
        <v>ASC social training passed</v>
      </c>
      <c r="K6" s="201" t="str">
        <f>IF(H42&gt;E46,'Audit risk analysis'!I12,INDEX('Audit risk analysis'!$C6:$I10,MATCH($G$17,'Audit risk analysis'!$C10:$C12,0),7))</f>
        <v>ASC social training passed</v>
      </c>
      <c r="L6" s="270" t="str">
        <f>IF(H43&gt;E46,'Audit risk analysis'!I15,INDEX('Audit risk analysis'!$C13:$I15,MATCH($G$21,'Audit risk analysis'!$C13:$C15,0),7))</f>
        <v>ASC social training passed</v>
      </c>
      <c r="P6" s="143"/>
    </row>
    <row r="7" spans="1:16" ht="15" customHeight="1">
      <c r="A7" s="4"/>
      <c r="B7" s="329"/>
      <c r="C7" s="329"/>
      <c r="D7" s="386" t="s">
        <v>638</v>
      </c>
      <c r="E7" s="374" t="str">
        <f>IF(F7="","Additional risk estimation not valid unless YES or NO selected","")</f>
        <v/>
      </c>
      <c r="F7" s="2" t="s">
        <v>0</v>
      </c>
      <c r="G7" s="274"/>
      <c r="H7" s="400"/>
      <c r="I7" s="402" t="s">
        <v>420</v>
      </c>
      <c r="J7" s="403"/>
      <c r="K7" s="404" t="str">
        <f>IF(F12="SA8000","Announced",IF(I57&gt;SUM(F50:F56),"Unannounced",IF(OR(G17=3,OR(G33&gt;1,OR(H53="HIGH",H53="MEDIUM"))),"1x unannounced audit per cycle","Announced")))</f>
        <v>Announced</v>
      </c>
      <c r="L7" s="405"/>
      <c r="P7" s="143"/>
    </row>
    <row r="8" spans="1:16" ht="15" customHeight="1" thickBot="1">
      <c r="A8" s="4"/>
      <c r="B8" s="384"/>
      <c r="C8" s="384"/>
      <c r="D8" s="385"/>
      <c r="E8" s="313"/>
      <c r="G8" s="313"/>
      <c r="H8" s="400"/>
      <c r="I8" s="402" t="s">
        <v>436</v>
      </c>
      <c r="J8" s="403"/>
      <c r="K8" s="404" t="str">
        <f>IF(AND(F14="NO",F27="NO"),'Audit risk analysis'!E22,IF(G29=3,'Audit risk analysis'!E24,IF(OR(F14="YES",G29&lt;3),'Audit risk analysis'!E23)))</f>
        <v>Skip all indicators on subcontractors/services</v>
      </c>
      <c r="L8" s="405"/>
      <c r="M8" s="323"/>
      <c r="P8" s="143"/>
    </row>
    <row r="9" spans="1:16">
      <c r="A9" s="4"/>
      <c r="B9" s="271" t="s">
        <v>496</v>
      </c>
      <c r="C9" s="310"/>
      <c r="D9" s="272"/>
      <c r="E9" s="272"/>
      <c r="F9" s="373"/>
      <c r="G9" s="375"/>
      <c r="H9" s="400"/>
      <c r="I9" s="402" t="s">
        <v>437</v>
      </c>
      <c r="J9" s="403"/>
      <c r="K9" s="404" t="str">
        <f>IF(G25=1,'Audit risk analysis'!E25,IF(G25=2,'Audit risk analysis'!E26,'Audit risk analysis'!E27))</f>
        <v>All critical indicators &amp; in-depth audit of grievance mechanism; focusing on interviewing workers and communities re. complaints</v>
      </c>
      <c r="L9" s="405"/>
      <c r="P9" s="143"/>
    </row>
    <row r="10" spans="1:16" ht="16.5" customHeight="1" thickBot="1">
      <c r="A10" s="4"/>
      <c r="B10" s="327" t="s">
        <v>511</v>
      </c>
      <c r="C10" s="227"/>
      <c r="D10" s="274"/>
      <c r="F10" s="2">
        <v>100</v>
      </c>
      <c r="G10" s="374" t="str">
        <f>IF(F10="","Additional risk estimation not valid unless value entered","")</f>
        <v/>
      </c>
      <c r="H10" s="401"/>
      <c r="I10" s="397" t="s">
        <v>494</v>
      </c>
      <c r="J10" s="398"/>
      <c r="K10" s="398"/>
      <c r="L10" s="322">
        <f>IF(F10^(1/H59)*I58&gt;=F10,F10,IF(F10^(1/H59)*I58&lt;F10,ROUNDUP(F10^(1/H59)*I58,0)))</f>
        <v>13</v>
      </c>
      <c r="P10" s="143"/>
    </row>
    <row r="11" spans="1:16" ht="15" customHeight="1">
      <c r="B11" s="273" t="s">
        <v>512</v>
      </c>
      <c r="C11" s="227"/>
      <c r="D11" s="274"/>
      <c r="E11" s="274"/>
      <c r="F11" s="1" t="s">
        <v>41</v>
      </c>
      <c r="G11" s="276" t="s">
        <v>423</v>
      </c>
      <c r="H11" s="374" t="str">
        <f>IF(F11="","Additional risk estimation not valid unless selection is made","")</f>
        <v/>
      </c>
      <c r="I11" s="4"/>
      <c r="J11" s="4"/>
    </row>
    <row r="12" spans="1:16" ht="15" customHeight="1">
      <c r="B12" s="273" t="s">
        <v>513</v>
      </c>
      <c r="C12" s="227"/>
      <c r="D12" s="274"/>
      <c r="E12" s="274"/>
      <c r="F12" s="1" t="s">
        <v>339</v>
      </c>
      <c r="G12" s="277">
        <f>IF(INDEX('Audit risk analysis'!C5:D9,(MATCH(F12,'Audit risk analysis'!D5:D9,0)),1)&lt;3,1,IF(INDEX('Audit risk analysis'!C5:D9,(MATCH(F12,'Audit risk analysis'!D5:D9,0)),1)&lt;5,2,3))</f>
        <v>1</v>
      </c>
      <c r="H12" s="374" t="str">
        <f>IF(F12="","Additional risk estimation not valid unless selection is made","")</f>
        <v/>
      </c>
      <c r="L12" s="306"/>
    </row>
    <row r="13" spans="1:16" ht="15" customHeight="1">
      <c r="B13" s="273" t="s">
        <v>514</v>
      </c>
      <c r="C13" s="227"/>
      <c r="D13" s="274"/>
      <c r="E13" s="274"/>
      <c r="F13" s="152"/>
      <c r="G13" s="278"/>
      <c r="H13" s="374"/>
    </row>
    <row r="14" spans="1:16" ht="15" customHeight="1">
      <c r="A14" s="12"/>
      <c r="B14" s="279"/>
      <c r="C14" s="227" t="s">
        <v>482</v>
      </c>
      <c r="D14" s="274"/>
      <c r="E14" s="274"/>
      <c r="F14" s="1" t="s">
        <v>1</v>
      </c>
      <c r="G14" s="275"/>
      <c r="H14" s="374" t="str">
        <f t="shared" ref="H14:H33" si="0">IF(F14="","Additional risk estimation not valid unless YES or NO selected","")</f>
        <v/>
      </c>
    </row>
    <row r="15" spans="1:16" ht="15" customHeight="1">
      <c r="A15" s="12"/>
      <c r="B15" s="279"/>
      <c r="C15" s="227" t="s">
        <v>465</v>
      </c>
      <c r="D15" s="274"/>
      <c r="E15" s="274"/>
      <c r="F15" s="1" t="s">
        <v>1</v>
      </c>
      <c r="G15" s="275"/>
      <c r="H15" s="374" t="str">
        <f t="shared" si="0"/>
        <v/>
      </c>
    </row>
    <row r="16" spans="1:16" ht="15" customHeight="1">
      <c r="A16" s="12"/>
      <c r="B16" s="279"/>
      <c r="C16" s="227" t="s">
        <v>481</v>
      </c>
      <c r="D16" s="274"/>
      <c r="E16" s="274"/>
      <c r="F16" s="1" t="s">
        <v>1</v>
      </c>
      <c r="G16" s="276" t="s">
        <v>421</v>
      </c>
      <c r="H16" s="374" t="str">
        <f t="shared" si="0"/>
        <v/>
      </c>
      <c r="I16" s="4"/>
    </row>
    <row r="17" spans="1:10" ht="15" customHeight="1">
      <c r="A17" s="12"/>
      <c r="B17" s="279"/>
      <c r="C17" s="227" t="s">
        <v>464</v>
      </c>
      <c r="D17" s="274"/>
      <c r="E17" s="274"/>
      <c r="F17" s="1" t="s">
        <v>353</v>
      </c>
      <c r="G17" s="277">
        <f>IF(AND(AND($F$14="NO",$F$16="NO"),$F$17="NONE"),1,IF(AND(AND($F$14="NO",$F$15="YES"),AND($F$16="NO",$F$17="LOW")),2,IF(AND(AND($F$14="YES",$F$16="YES"),NOT($F$17="NONE")),3,2)))</f>
        <v>1</v>
      </c>
      <c r="H17" s="374" t="str">
        <f>IF(F17="","Additional risk estimation not valid unless selection is made","")</f>
        <v/>
      </c>
      <c r="I17" s="4"/>
    </row>
    <row r="18" spans="1:10" ht="15" customHeight="1">
      <c r="A18" s="12"/>
      <c r="B18" s="327" t="s">
        <v>515</v>
      </c>
      <c r="C18" s="227"/>
      <c r="D18" s="274"/>
      <c r="E18" s="274"/>
      <c r="F18" s="274"/>
      <c r="G18" s="275"/>
      <c r="H18" s="374"/>
      <c r="I18" s="4"/>
    </row>
    <row r="19" spans="1:10" ht="15" customHeight="1">
      <c r="A19" s="12"/>
      <c r="B19" s="279"/>
      <c r="C19" s="227" t="s">
        <v>446</v>
      </c>
      <c r="D19" s="274"/>
      <c r="E19" s="274"/>
      <c r="F19" s="1" t="s">
        <v>1</v>
      </c>
      <c r="G19" s="280"/>
      <c r="H19" s="374" t="str">
        <f t="shared" si="0"/>
        <v/>
      </c>
      <c r="I19" s="4"/>
    </row>
    <row r="20" spans="1:10" ht="15" customHeight="1">
      <c r="A20" s="12"/>
      <c r="B20" s="279"/>
      <c r="C20" s="227" t="s">
        <v>402</v>
      </c>
      <c r="D20" s="324"/>
      <c r="E20" s="274"/>
      <c r="F20" s="1" t="s">
        <v>1</v>
      </c>
      <c r="G20" s="276" t="s">
        <v>421</v>
      </c>
      <c r="H20" s="374" t="str">
        <f t="shared" si="0"/>
        <v/>
      </c>
      <c r="I20" s="4"/>
    </row>
    <row r="21" spans="1:10" ht="15" customHeight="1">
      <c r="A21" s="4"/>
      <c r="B21" s="279"/>
      <c r="C21" s="227" t="s">
        <v>634</v>
      </c>
      <c r="D21" s="274"/>
      <c r="E21" s="274"/>
      <c r="F21" s="1" t="s">
        <v>1</v>
      </c>
      <c r="G21" s="281">
        <f>IF(AND(F19="YES",AND(F20="YES",F21="YES")),3,IF(AND(F19="YES",OR(F20="YES",F21="YES")),2,1))</f>
        <v>1</v>
      </c>
      <c r="H21" s="374" t="str">
        <f t="shared" si="0"/>
        <v/>
      </c>
      <c r="I21" s="4"/>
    </row>
    <row r="22" spans="1:10" ht="15" customHeight="1">
      <c r="A22" s="4"/>
      <c r="B22" s="327" t="s">
        <v>516</v>
      </c>
      <c r="C22" s="227"/>
      <c r="D22" s="274"/>
      <c r="E22" s="274"/>
      <c r="F22" s="227"/>
      <c r="G22" s="282"/>
      <c r="H22" s="374"/>
      <c r="I22" s="4"/>
    </row>
    <row r="23" spans="1:10" ht="15" customHeight="1">
      <c r="A23" s="4"/>
      <c r="B23" s="273"/>
      <c r="C23" s="227" t="s">
        <v>404</v>
      </c>
      <c r="D23" s="274"/>
      <c r="E23" s="274"/>
      <c r="F23" s="1" t="s">
        <v>1</v>
      </c>
      <c r="G23" s="282"/>
      <c r="H23" s="374" t="str">
        <f t="shared" si="0"/>
        <v/>
      </c>
      <c r="I23" s="4"/>
    </row>
    <row r="24" spans="1:10" ht="15" customHeight="1">
      <c r="A24" s="4"/>
      <c r="B24" s="283"/>
      <c r="C24" s="227" t="s">
        <v>403</v>
      </c>
      <c r="D24" s="274"/>
      <c r="E24" s="274"/>
      <c r="F24" s="1" t="s">
        <v>1</v>
      </c>
      <c r="G24" s="276" t="s">
        <v>421</v>
      </c>
      <c r="H24" s="374" t="str">
        <f t="shared" si="0"/>
        <v/>
      </c>
      <c r="I24" s="4"/>
    </row>
    <row r="25" spans="1:10" ht="15" customHeight="1">
      <c r="A25" s="4"/>
      <c r="B25" s="283"/>
      <c r="C25" s="227" t="s">
        <v>463</v>
      </c>
      <c r="D25" s="274"/>
      <c r="E25" s="274"/>
      <c r="F25" s="1" t="s">
        <v>1</v>
      </c>
      <c r="G25" s="281">
        <f>IF(F23="NO",1,IF(F25="YES",3,IF(F24="YES",2,1)))</f>
        <v>1</v>
      </c>
      <c r="H25" s="374" t="str">
        <f t="shared" si="0"/>
        <v/>
      </c>
      <c r="I25" s="4"/>
    </row>
    <row r="26" spans="1:10" ht="15" customHeight="1">
      <c r="A26" s="4"/>
      <c r="B26" s="273" t="s">
        <v>517</v>
      </c>
      <c r="C26" s="227"/>
      <c r="D26" s="274"/>
      <c r="E26" s="274"/>
      <c r="F26" s="227"/>
      <c r="G26" s="282"/>
      <c r="H26" s="374"/>
      <c r="I26" s="4"/>
    </row>
    <row r="27" spans="1:10" ht="15" customHeight="1">
      <c r="A27" s="4"/>
      <c r="B27" s="273"/>
      <c r="C27" s="227" t="s">
        <v>461</v>
      </c>
      <c r="D27" s="274"/>
      <c r="E27" s="274"/>
      <c r="F27" s="1" t="s">
        <v>1</v>
      </c>
      <c r="G27" s="282"/>
      <c r="H27" s="374" t="str">
        <f t="shared" si="0"/>
        <v/>
      </c>
      <c r="I27" s="4"/>
    </row>
    <row r="28" spans="1:10" ht="15" customHeight="1">
      <c r="A28" s="4"/>
      <c r="B28" s="273"/>
      <c r="C28" s="227" t="s">
        <v>462</v>
      </c>
      <c r="D28" s="274"/>
      <c r="E28" s="274"/>
      <c r="F28" s="1" t="s">
        <v>1</v>
      </c>
      <c r="G28" s="276" t="s">
        <v>421</v>
      </c>
      <c r="H28" s="374" t="str">
        <f t="shared" si="0"/>
        <v/>
      </c>
      <c r="I28" s="4"/>
    </row>
    <row r="29" spans="1:10" ht="26" customHeight="1">
      <c r="A29" s="4"/>
      <c r="B29" s="273"/>
      <c r="C29" s="392" t="s">
        <v>460</v>
      </c>
      <c r="D29" s="392"/>
      <c r="E29" s="393"/>
      <c r="F29" s="1" t="s">
        <v>1</v>
      </c>
      <c r="G29" s="281">
        <f>IF(AND(F27="YES",F29="YES"),3,IF(AND(F27="YES",F28="YES"),2,1))</f>
        <v>1</v>
      </c>
      <c r="H29" s="374" t="str">
        <f t="shared" si="0"/>
        <v/>
      </c>
      <c r="I29" s="4"/>
    </row>
    <row r="30" spans="1:10" ht="15" customHeight="1">
      <c r="A30" s="4"/>
      <c r="B30" s="273" t="s">
        <v>518</v>
      </c>
      <c r="C30" s="227"/>
      <c r="D30" s="274"/>
      <c r="E30" s="274"/>
      <c r="F30" s="274"/>
      <c r="G30" s="282"/>
      <c r="H30" s="374"/>
      <c r="I30" s="4"/>
    </row>
    <row r="31" spans="1:10" ht="15" customHeight="1">
      <c r="A31" s="4"/>
      <c r="B31" s="273"/>
      <c r="C31" s="227" t="s">
        <v>459</v>
      </c>
      <c r="D31" s="274"/>
      <c r="E31" s="274"/>
      <c r="F31" s="1" t="s">
        <v>1</v>
      </c>
      <c r="G31" s="282"/>
      <c r="H31" s="374" t="str">
        <f t="shared" si="0"/>
        <v/>
      </c>
      <c r="I31" s="4"/>
    </row>
    <row r="32" spans="1:10" ht="15" customHeight="1">
      <c r="A32" s="4"/>
      <c r="B32" s="273"/>
      <c r="C32" s="227" t="s">
        <v>497</v>
      </c>
      <c r="D32" s="274"/>
      <c r="E32" s="274"/>
      <c r="F32" s="1" t="s">
        <v>0</v>
      </c>
      <c r="G32" s="276" t="s">
        <v>421</v>
      </c>
      <c r="H32" s="374" t="str">
        <f t="shared" si="0"/>
        <v/>
      </c>
      <c r="I32" s="4"/>
      <c r="J32" s="4"/>
    </row>
    <row r="33" spans="1:10" ht="15" customHeight="1">
      <c r="A33" s="4"/>
      <c r="B33" s="273"/>
      <c r="C33" s="227" t="s">
        <v>458</v>
      </c>
      <c r="D33" s="274"/>
      <c r="E33" s="274"/>
      <c r="F33" s="1" t="s">
        <v>1</v>
      </c>
      <c r="G33" s="281">
        <f>IF(AND(F31="YES",OR(F32="YES",F33="YES")),3,IF(F31="YES",2,1))</f>
        <v>1</v>
      </c>
      <c r="H33" s="374" t="str">
        <f t="shared" si="0"/>
        <v/>
      </c>
      <c r="I33" s="4"/>
    </row>
    <row r="34" spans="1:10" ht="15" customHeight="1" thickBot="1">
      <c r="A34" s="4"/>
      <c r="B34" s="273"/>
      <c r="C34" s="274"/>
      <c r="D34" s="274"/>
      <c r="E34" s="274"/>
      <c r="F34" s="274"/>
      <c r="G34" s="280"/>
      <c r="I34" s="4"/>
    </row>
    <row r="35" spans="1:10" ht="15" customHeight="1" thickBot="1">
      <c r="A35" s="4"/>
      <c r="B35" s="273" t="s">
        <v>519</v>
      </c>
      <c r="C35" s="274"/>
      <c r="D35" s="274"/>
      <c r="E35" s="343" t="s">
        <v>334</v>
      </c>
      <c r="F35" s="342" t="s">
        <v>333</v>
      </c>
      <c r="G35" s="342" t="s">
        <v>498</v>
      </c>
      <c r="I35" s="4"/>
    </row>
    <row r="36" spans="1:10" ht="15" customHeight="1">
      <c r="A36" s="4"/>
      <c r="B36" s="279"/>
      <c r="C36" s="227" t="s">
        <v>635</v>
      </c>
      <c r="D36" s="274"/>
      <c r="E36" s="442"/>
      <c r="F36" s="443"/>
      <c r="G36" s="444"/>
      <c r="I36" s="4"/>
    </row>
    <row r="37" spans="1:10" ht="15" customHeight="1">
      <c r="A37" s="4"/>
      <c r="B37" s="279"/>
      <c r="C37" s="227" t="s">
        <v>457</v>
      </c>
      <c r="D37" s="274"/>
      <c r="E37" s="445"/>
      <c r="F37" s="446"/>
      <c r="G37" s="447"/>
      <c r="I37" s="4"/>
    </row>
    <row r="38" spans="1:10" ht="15" customHeight="1" thickBot="1">
      <c r="A38" s="4"/>
      <c r="B38" s="311"/>
      <c r="C38" s="312" t="s">
        <v>480</v>
      </c>
      <c r="D38" s="313"/>
      <c r="E38" s="448"/>
      <c r="F38" s="449"/>
      <c r="G38" s="450"/>
      <c r="I38" s="4"/>
    </row>
    <row r="39" spans="1:10" ht="15" hidden="1" customHeight="1">
      <c r="A39" s="4"/>
      <c r="B39" s="394" t="s">
        <v>520</v>
      </c>
      <c r="C39" s="395"/>
      <c r="D39" s="395"/>
      <c r="E39" s="396"/>
      <c r="F39" s="396"/>
      <c r="G39" s="396"/>
      <c r="H39" s="396"/>
      <c r="I39" s="4"/>
      <c r="J39" s="4"/>
    </row>
    <row r="40" spans="1:10" ht="15" hidden="1" customHeight="1" thickBot="1">
      <c r="A40" s="4"/>
      <c r="B40" s="354" t="s">
        <v>456</v>
      </c>
      <c r="C40" s="355"/>
      <c r="D40" s="345" t="s">
        <v>335</v>
      </c>
      <c r="E40" s="345" t="s">
        <v>502</v>
      </c>
      <c r="F40" s="345" t="s">
        <v>501</v>
      </c>
      <c r="G40" s="345" t="s">
        <v>500</v>
      </c>
      <c r="H40" s="346" t="s">
        <v>499</v>
      </c>
      <c r="I40" s="4"/>
      <c r="J40" s="4"/>
    </row>
    <row r="41" spans="1:10" ht="15" hidden="1" customHeight="1">
      <c r="A41" s="4"/>
      <c r="B41" s="422" t="s">
        <v>636</v>
      </c>
      <c r="C41" s="423"/>
      <c r="D41" s="350">
        <v>14</v>
      </c>
      <c r="E41" s="352">
        <f>E36/SUM($D$41:$D$43)*E$44</f>
        <v>0</v>
      </c>
      <c r="F41" s="352">
        <f>F36/SUM($D$41:$D$43)*F$44</f>
        <v>0</v>
      </c>
      <c r="G41" s="376">
        <f>G36/SUM($D$41:$D$43)*G$44</f>
        <v>0</v>
      </c>
      <c r="H41" s="379">
        <f>IF(F$7="YES",0,SUM(E41:G41))</f>
        <v>0</v>
      </c>
      <c r="I41" s="4"/>
    </row>
    <row r="42" spans="1:10" ht="15" hidden="1" customHeight="1">
      <c r="A42" s="4"/>
      <c r="B42" s="424" t="s">
        <v>450</v>
      </c>
      <c r="C42" s="425"/>
      <c r="D42" s="351">
        <v>53</v>
      </c>
      <c r="E42" s="349">
        <f t="shared" ref="E42:F42" si="1">E37/SUM($D$41:$D$43)*E$44</f>
        <v>0</v>
      </c>
      <c r="F42" s="349">
        <f t="shared" si="1"/>
        <v>0</v>
      </c>
      <c r="G42" s="377">
        <f t="shared" ref="G42:G43" si="2">G37/SUM($D$41:$D$43)*G$44</f>
        <v>0</v>
      </c>
      <c r="H42" s="380">
        <f t="shared" ref="H42:H43" si="3">IF(F$7="YES",0,SUM(E42:G42))</f>
        <v>0</v>
      </c>
      <c r="I42" s="4"/>
    </row>
    <row r="43" spans="1:10" ht="15" hidden="1" customHeight="1" thickBot="1">
      <c r="A43" s="4"/>
      <c r="B43" s="426" t="s">
        <v>451</v>
      </c>
      <c r="C43" s="427"/>
      <c r="D43" s="356">
        <v>8</v>
      </c>
      <c r="E43" s="353">
        <f t="shared" ref="E43:F43" si="4">E38/SUM($D$41:$D$43)*E$44</f>
        <v>0</v>
      </c>
      <c r="F43" s="353">
        <f t="shared" si="4"/>
        <v>0</v>
      </c>
      <c r="G43" s="378">
        <f t="shared" si="2"/>
        <v>0</v>
      </c>
      <c r="H43" s="381">
        <f t="shared" si="3"/>
        <v>0</v>
      </c>
      <c r="I43" s="4"/>
      <c r="J43" s="4"/>
    </row>
    <row r="44" spans="1:10" ht="15" hidden="1" customHeight="1" thickBot="1">
      <c r="A44" s="4"/>
      <c r="B44" s="419" t="s">
        <v>507</v>
      </c>
      <c r="C44" s="420"/>
      <c r="D44" s="421"/>
      <c r="E44" s="347">
        <v>10</v>
      </c>
      <c r="F44" s="347">
        <v>20</v>
      </c>
      <c r="G44" s="348">
        <f>100-(E44+F44)</f>
        <v>70</v>
      </c>
      <c r="H44" s="387">
        <f>SUM(H41:H43)</f>
        <v>0</v>
      </c>
      <c r="I44" s="306"/>
    </row>
    <row r="45" spans="1:10" ht="15" hidden="1" customHeight="1">
      <c r="A45" s="4"/>
      <c r="B45" s="413" t="s">
        <v>637</v>
      </c>
      <c r="C45" s="414"/>
      <c r="D45" s="415"/>
      <c r="E45" s="284" t="s">
        <v>338</v>
      </c>
      <c r="F45" s="344" t="s">
        <v>6</v>
      </c>
      <c r="I45" s="306"/>
    </row>
    <row r="46" spans="1:10" ht="15" hidden="1" customHeight="1" thickBot="1">
      <c r="A46" s="4"/>
      <c r="B46" s="416"/>
      <c r="C46" s="417"/>
      <c r="D46" s="418"/>
      <c r="E46" s="285">
        <v>1.1000000000000001</v>
      </c>
      <c r="F46" s="286">
        <v>0.7</v>
      </c>
      <c r="G46" s="309" t="s">
        <v>441</v>
      </c>
      <c r="I46" s="195"/>
    </row>
    <row r="47" spans="1:10" ht="15" hidden="1" customHeight="1" thickBot="1">
      <c r="A47" s="4"/>
      <c r="B47" s="198" t="s">
        <v>414</v>
      </c>
      <c r="C47" s="198"/>
    </row>
    <row r="48" spans="1:10" ht="15" hidden="1" customHeight="1">
      <c r="B48" s="202"/>
      <c r="C48" s="209"/>
      <c r="D48" s="411" t="s">
        <v>442</v>
      </c>
      <c r="E48" s="411"/>
      <c r="F48" s="411"/>
      <c r="G48" s="412"/>
      <c r="H48" s="305"/>
      <c r="I48" s="203"/>
    </row>
    <row r="49" spans="2:11" ht="15" hidden="1" customHeight="1" thickBot="1">
      <c r="B49" s="204" t="s">
        <v>17</v>
      </c>
      <c r="C49" s="206" t="s">
        <v>10</v>
      </c>
      <c r="D49" s="205" t="s">
        <v>8</v>
      </c>
      <c r="E49" s="206" t="s">
        <v>5</v>
      </c>
      <c r="F49" s="206" t="s">
        <v>6</v>
      </c>
      <c r="G49" s="207" t="s">
        <v>7</v>
      </c>
      <c r="H49" s="206" t="s">
        <v>15</v>
      </c>
      <c r="I49" s="207" t="s">
        <v>11</v>
      </c>
    </row>
    <row r="50" spans="2:11" ht="15" hidden="1" customHeight="1">
      <c r="B50" s="316" t="s">
        <v>445</v>
      </c>
      <c r="C50" s="316">
        <v>1</v>
      </c>
      <c r="D50" s="317" t="s">
        <v>317</v>
      </c>
      <c r="E50" s="318">
        <v>8</v>
      </c>
      <c r="F50" s="318">
        <v>10</v>
      </c>
      <c r="G50" s="319">
        <v>14</v>
      </c>
      <c r="H50" s="257" t="str">
        <f>IF(F$7="NO",(IF(H41&gt;=E46,"HIGH",IF(H41&gt;=F46,"MEDIUM","LOW"))),IF(G12=1,"LOW",IF(G12=2,"MEDIUM","HIGH")))</f>
        <v>LOW</v>
      </c>
      <c r="I50" s="320">
        <f t="shared" ref="I50:I56" si="5">INDEX($B$49:$G$56,MATCH($C50,$C$49:$C$56),MATCH($H50,$B$49:$G$49,0))</f>
        <v>8</v>
      </c>
    </row>
    <row r="51" spans="2:11" ht="15" hidden="1" customHeight="1">
      <c r="B51" s="251" t="s">
        <v>445</v>
      </c>
      <c r="C51" s="251">
        <v>2</v>
      </c>
      <c r="D51" s="22" t="s">
        <v>452</v>
      </c>
      <c r="E51" s="21">
        <v>9</v>
      </c>
      <c r="F51" s="21">
        <v>10</v>
      </c>
      <c r="G51" s="258">
        <f>SUM(F50:F56)-SUM(E52:E56)-E50+1</f>
        <v>20</v>
      </c>
      <c r="H51" s="266" t="str">
        <f>IF(F$7="NO",(IF(H42&gt;=E46,"HIGH",IF(H42&gt;=F46,"MEDIUM","LOW"))),IF(G17=1,"LOW",IF(G17=2,"MEDIUM","HIGH")))</f>
        <v>LOW</v>
      </c>
      <c r="I51" s="262">
        <f t="shared" si="5"/>
        <v>9</v>
      </c>
    </row>
    <row r="52" spans="2:11" ht="15" hidden="1" customHeight="1">
      <c r="B52" s="251" t="s">
        <v>445</v>
      </c>
      <c r="C52" s="251">
        <v>3</v>
      </c>
      <c r="D52" s="20" t="s">
        <v>453</v>
      </c>
      <c r="E52" s="18">
        <v>7</v>
      </c>
      <c r="F52" s="18">
        <v>10</v>
      </c>
      <c r="G52" s="259">
        <v>12</v>
      </c>
      <c r="H52" s="266" t="str">
        <f>IF(F$7="NO",(IF(H43&gt;=E46,"HIGH",IF(H43&gt;=F46,"MEDIUM","LOW"))),IF(G21=1,"LOW",IF(G21=2,"MEDIUM","HIGH")))</f>
        <v>LOW</v>
      </c>
      <c r="I52" s="262">
        <f t="shared" si="5"/>
        <v>7</v>
      </c>
    </row>
    <row r="53" spans="2:11" ht="15" hidden="1" customHeight="1">
      <c r="B53" s="251" t="s">
        <v>445</v>
      </c>
      <c r="C53" s="251">
        <v>4</v>
      </c>
      <c r="D53" s="20" t="s">
        <v>413</v>
      </c>
      <c r="E53" s="18">
        <v>9</v>
      </c>
      <c r="F53" s="18">
        <v>10</v>
      </c>
      <c r="G53" s="258">
        <f>SUM(F50:F56)-SUM(E50:E52)-SUM(E54:E56)+1</f>
        <v>20</v>
      </c>
      <c r="H53" s="266" t="str">
        <f>IF(F$7="NO",(IF(H44&gt;=E46,"HIGH",IF(H44&gt;=F46,"MEDIUM","LOW"))),INDEX(CountryRisk!A5:AB43,MATCH(F11,CountryRisk!A5:A43),28))</f>
        <v>LOW</v>
      </c>
      <c r="I53" s="262">
        <f t="shared" si="5"/>
        <v>9</v>
      </c>
    </row>
    <row r="54" spans="2:11" ht="15" hidden="1" customHeight="1">
      <c r="B54" s="251" t="s">
        <v>445</v>
      </c>
      <c r="C54" s="251">
        <v>5</v>
      </c>
      <c r="D54" s="20" t="s">
        <v>412</v>
      </c>
      <c r="E54" s="18">
        <v>7</v>
      </c>
      <c r="F54" s="18">
        <v>10</v>
      </c>
      <c r="G54" s="259">
        <v>12</v>
      </c>
      <c r="H54" s="266" t="str">
        <f>IF(G29=1,"LOW",IF(G29=2,"MEDIUM","HIGH"))</f>
        <v>LOW</v>
      </c>
      <c r="I54" s="262">
        <f t="shared" si="5"/>
        <v>7</v>
      </c>
      <c r="J54" s="27" t="str">
        <f t="shared" ref="J54" si="6">IF(H54="","Sample size not valid unless HIGH, MEDIUM or LOW selected","")</f>
        <v/>
      </c>
    </row>
    <row r="55" spans="2:11" ht="15" hidden="1" customHeight="1">
      <c r="B55" s="252" t="s">
        <v>348</v>
      </c>
      <c r="C55" s="252">
        <v>6</v>
      </c>
      <c r="D55" s="23" t="s">
        <v>9</v>
      </c>
      <c r="E55" s="199">
        <f>IF($F$7="YES",0,7)</f>
        <v>0</v>
      </c>
      <c r="F55" s="199">
        <f>IF($F$7="YES",0,10)</f>
        <v>0</v>
      </c>
      <c r="G55" s="260">
        <f>IF($F$7="YES",0,12)</f>
        <v>0</v>
      </c>
      <c r="H55" s="266" t="str">
        <f>IF(F$7="YES","MEDIUM",IF(G25=1,"LOW",IF(G25=2,"MEDIUM","HIGH")))</f>
        <v>MEDIUM</v>
      </c>
      <c r="I55" s="263">
        <f t="shared" si="5"/>
        <v>0</v>
      </c>
    </row>
    <row r="56" spans="2:11" ht="15" hidden="1" customHeight="1" thickBot="1">
      <c r="B56" s="253" t="s">
        <v>348</v>
      </c>
      <c r="C56" s="253">
        <v>7</v>
      </c>
      <c r="D56" s="321" t="s">
        <v>443</v>
      </c>
      <c r="E56" s="254">
        <f>IF($F$7="YES",0,9)</f>
        <v>0</v>
      </c>
      <c r="F56" s="254">
        <f>IF($F$7="YES",0,10)</f>
        <v>0</v>
      </c>
      <c r="G56" s="261">
        <f>IF(F7="Yes",0,SUM(F50:F56)-SUM(E50:E54)-E55+1)</f>
        <v>0</v>
      </c>
      <c r="H56" s="267" t="str">
        <f>IF(F$7="YES","MEDIUM",IF(H44&gt;=E46,"HIGH",IF(H44&gt;=F46,"MEDIUM","LOW")))</f>
        <v>MEDIUM</v>
      </c>
      <c r="I56" s="264">
        <f t="shared" si="5"/>
        <v>0</v>
      </c>
    </row>
    <row r="57" spans="2:11" ht="15" hidden="1" customHeight="1">
      <c r="F57" s="250" t="s">
        <v>435</v>
      </c>
      <c r="G57" s="163"/>
      <c r="H57" s="314">
        <v>80</v>
      </c>
      <c r="I57" s="315">
        <f>SUM(I50:I56)</f>
        <v>40</v>
      </c>
      <c r="J57" s="150" t="s">
        <v>19</v>
      </c>
    </row>
    <row r="58" spans="2:11" ht="15" hidden="1" customHeight="1" thickBot="1">
      <c r="F58" s="250" t="s">
        <v>434</v>
      </c>
      <c r="G58" s="163"/>
      <c r="H58" s="255">
        <v>66</v>
      </c>
      <c r="I58" s="265">
        <f>IF(I57&gt;=SUM(F50:F56),1+(I57-SUM(F50:F56))/H57,1+(I57-SUM(F50:F56))/H58)</f>
        <v>0.84848484848484851</v>
      </c>
      <c r="J58" s="151" t="s">
        <v>20</v>
      </c>
    </row>
    <row r="59" spans="2:11" ht="15" hidden="1" customHeight="1" thickBot="1">
      <c r="D59" s="163"/>
      <c r="F59" s="163"/>
      <c r="G59" s="164" t="s">
        <v>13</v>
      </c>
      <c r="H59" s="256">
        <v>1.7</v>
      </c>
      <c r="I59" s="325"/>
      <c r="J59" s="4"/>
    </row>
    <row r="60" spans="2:11" ht="15" hidden="1" customHeight="1">
      <c r="I60" s="4"/>
      <c r="J60" s="4"/>
    </row>
    <row r="61" spans="2:11" ht="19.5" customHeight="1">
      <c r="I61" s="4"/>
      <c r="J61" s="4"/>
    </row>
    <row r="62" spans="2:11" ht="15" customHeight="1">
      <c r="H62" s="3"/>
      <c r="K62" s="210"/>
    </row>
    <row r="63" spans="2:11" ht="15" customHeight="1">
      <c r="H63" s="3"/>
    </row>
    <row r="64" spans="2:11" ht="15" customHeight="1">
      <c r="H64" s="3"/>
    </row>
    <row r="65" spans="8:8" ht="15" customHeight="1">
      <c r="H65" s="3"/>
    </row>
    <row r="66" spans="8:8" ht="15" customHeight="1">
      <c r="H66" s="3"/>
    </row>
    <row r="67" spans="8:8" ht="15" customHeight="1">
      <c r="H67" s="3"/>
    </row>
    <row r="68" spans="8:8" ht="15" customHeight="1">
      <c r="H68" s="3"/>
    </row>
    <row r="69" spans="8:8" ht="15" customHeight="1">
      <c r="H69" s="3"/>
    </row>
    <row r="70" spans="8:8" ht="15" customHeight="1">
      <c r="H70" s="3"/>
    </row>
    <row r="71" spans="8:8" ht="15" customHeight="1">
      <c r="H71" s="3"/>
    </row>
    <row r="72" spans="8:8" ht="15" customHeight="1">
      <c r="H72" s="3"/>
    </row>
    <row r="73" spans="8:8" ht="15" customHeight="1">
      <c r="H73" s="3"/>
    </row>
  </sheetData>
  <sheetProtection password="9B24" sheet="1" objects="1" scenarios="1" selectLockedCells="1"/>
  <customSheetViews>
    <customSheetView guid="{B86257EE-0156-41F8-B4C2-E78E8DECB83A}" scale="90">
      <selection activeCell="I16" sqref="I16"/>
      <pageSetup paperSize="9" orientation="portrait"/>
    </customSheetView>
    <customSheetView guid="{033A95D0-94F2-0942-BC86-50E37364F610}" scale="90">
      <selection activeCell="I29" sqref="I29"/>
      <pageSetup paperSize="9" orientation="portrait"/>
    </customSheetView>
  </customSheetViews>
  <mergeCells count="19">
    <mergeCell ref="D48:G48"/>
    <mergeCell ref="B45:D46"/>
    <mergeCell ref="B44:D44"/>
    <mergeCell ref="B41:C41"/>
    <mergeCell ref="B42:C42"/>
    <mergeCell ref="B43:C43"/>
    <mergeCell ref="C29:E29"/>
    <mergeCell ref="B39:H39"/>
    <mergeCell ref="I10:K10"/>
    <mergeCell ref="H2:H10"/>
    <mergeCell ref="I7:J7"/>
    <mergeCell ref="K7:L7"/>
    <mergeCell ref="K8:L8"/>
    <mergeCell ref="K9:L9"/>
    <mergeCell ref="B3:G3"/>
    <mergeCell ref="I8:J8"/>
    <mergeCell ref="I9:J9"/>
    <mergeCell ref="A2:F2"/>
    <mergeCell ref="F5:F6"/>
  </mergeCells>
  <phoneticPr fontId="56" type="noConversion"/>
  <conditionalFormatting sqref="F28:F29">
    <cfRule type="expression" dxfId="6" priority="14">
      <formula>$F$27="NO"</formula>
    </cfRule>
  </conditionalFormatting>
  <conditionalFormatting sqref="F24:F25">
    <cfRule type="expression" dxfId="5" priority="13">
      <formula>$F$23="NO"</formula>
    </cfRule>
  </conditionalFormatting>
  <conditionalFormatting sqref="F20:F21">
    <cfRule type="expression" dxfId="4" priority="12">
      <formula>$F$19="NO"</formula>
    </cfRule>
  </conditionalFormatting>
  <conditionalFormatting sqref="F32:F33">
    <cfRule type="expression" dxfId="3" priority="10">
      <formula>$F$31="NO"</formula>
    </cfRule>
  </conditionalFormatting>
  <conditionalFormatting sqref="E36:G38">
    <cfRule type="expression" dxfId="2" priority="16">
      <formula>$F$7="YES"</formula>
    </cfRule>
    <cfRule type="expression" dxfId="1" priority="17">
      <formula>$F$31="NO"</formula>
    </cfRule>
  </conditionalFormatting>
  <conditionalFormatting sqref="F32">
    <cfRule type="expression" dxfId="0" priority="20">
      <formula>$F$7="YES"</formula>
    </cfRule>
  </conditionalFormatting>
  <dataValidations xWindow="675" yWindow="654" count="11">
    <dataValidation allowBlank="1" showInputMessage="1" showErrorMessage="1" prompt="Lowering this score _x000a_increases the sample size estimation for higher risk scenarios (SRS &gt;=70)" sqref="H57"/>
    <dataValidation allowBlank="1" showInputMessage="1" showErrorMessage="1" prompt="Increasing this score _x000a_increases the sample size estimation for lower risk scenarios (SRS &lt; 70)" sqref="H58"/>
    <dataValidation allowBlank="1" showInputMessage="1" showErrorMessage="1" prompt="Enter a value from &gt;1 to 2 (SQRT) - increasing this value will lower the (interview) sample-size for higher, relative to lower total numbers of workers accross the UoC." sqref="H59"/>
    <dataValidation type="list" allowBlank="1" showInputMessage="1" showErrorMessage="1" sqref="F14:F16 F7 F19:F29 F31:F33">
      <formula1>Initial_audit_response</formula1>
    </dataValidation>
    <dataValidation allowBlank="1" showInputMessage="1" showErrorMessage="1" prompt="Changing this value automatically also (inversely) adjusts the weighting on the Major NC ratio" sqref="E44"/>
    <dataValidation allowBlank="1" showInputMessage="1" showErrorMessage="1" prompt="Lowering this value reduces the total number of NCs required to incur a 'HIGH' risk determination" sqref="E46"/>
    <dataValidation allowBlank="1" showInputMessage="1" showErrorMessage="1" prompt="Lowering this value reduces the total number of NCs required to incur a 'MEDIUM' risk determination" sqref="F46"/>
    <dataValidation allowBlank="1" showInputMessage="1" showErrorMessage="1" prompt="Set to number of indicators in specified social principle" sqref="D41:D43"/>
    <dataValidation type="custom" allowBlank="1" showInputMessage="1" showErrorMessage="1" error="The total sum of NCs can not be greater than the number of indicators under this principle!" sqref="E36:E38">
      <formula1>(F36+E36+G36)&lt;=D41</formula1>
    </dataValidation>
    <dataValidation type="custom" allowBlank="1" showInputMessage="1" showErrorMessage="1" error="The total sum of NCs can not be greater than the number of indicators under this principle!" sqref="F36:F38">
      <formula1>(E36+F36+G36)&lt;=D41</formula1>
    </dataValidation>
    <dataValidation type="custom" allowBlank="1" showInputMessage="1" showErrorMessage="1" error="The total sum of NCs can not be greater than the number of indicators under this principle!" sqref="G36:G38">
      <formula1>(E36+F36+G36)&lt;=D41</formula1>
    </dataValidation>
  </dataValidations>
  <pageMargins left="0.7" right="0.7" top="0.75" bottom="0.75" header="0.3" footer="0.3"/>
  <pageSetup paperSize="9" orientation="landscape"/>
  <ignoredErrors>
    <ignoredError sqref="E56:G56" unlockedFormula="1"/>
    <ignoredError sqref="L3 K5:L6" formulaRange="1"/>
  </ignoredErrors>
  <legacyDrawing r:id="rId1"/>
  <extLst>
    <ext xmlns:x14="http://schemas.microsoft.com/office/spreadsheetml/2009/9/main" uri="{CCE6A557-97BC-4b89-ADB6-D9C93CAAB3DF}">
      <x14:dataValidations xmlns:xm="http://schemas.microsoft.com/office/excel/2006/main" xWindow="675" yWindow="654" count="3">
        <x14:dataValidation type="list" allowBlank="1" showInputMessage="1" showErrorMessage="1">
          <x14:formula1>
            <xm:f>CountryRisk!$A$6:$A$43</xm:f>
          </x14:formula1>
          <xm:sqref>F11</xm:sqref>
        </x14:dataValidation>
        <x14:dataValidation type="list" allowBlank="1" showInputMessage="1" showErrorMessage="1">
          <x14:formula1>
            <xm:f>'Audit risk analysis'!$D$5:$D$9</xm:f>
          </x14:formula1>
          <xm:sqref>F12</xm:sqref>
        </x14:dataValidation>
        <x14:dataValidation type="list" allowBlank="1" showInputMessage="1" showErrorMessage="1">
          <x14:formula1>
            <xm:f>Lookup!$C$3:$C$5</xm:f>
          </x14:formula1>
          <xm:sqref>F17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theme="6" tint="0.39997558519241921"/>
  </sheetPr>
  <dimension ref="A1:P27"/>
  <sheetViews>
    <sheetView workbookViewId="0">
      <selection activeCell="D8" sqref="D8"/>
    </sheetView>
  </sheetViews>
  <sheetFormatPr baseColWidth="10" defaultColWidth="8.83203125" defaultRowHeight="14" x14ac:dyDescent="0"/>
  <cols>
    <col min="1" max="1" width="20.33203125" style="28" bestFit="1" customWidth="1"/>
    <col min="2" max="2" width="25.33203125" style="28" customWidth="1"/>
    <col min="3" max="3" width="4" style="158" bestFit="1" customWidth="1"/>
    <col min="4" max="4" width="49.5" style="28" customWidth="1"/>
    <col min="5" max="5" width="41.5" style="28" customWidth="1"/>
    <col min="6" max="6" width="24.83203125" style="28" bestFit="1" customWidth="1"/>
    <col min="7" max="7" width="32.6640625" style="28" bestFit="1" customWidth="1"/>
    <col min="8" max="8" width="32.33203125" style="28" bestFit="1" customWidth="1"/>
    <col min="9" max="9" width="28" style="28" bestFit="1" customWidth="1"/>
    <col min="10" max="10" width="12.6640625" style="28" customWidth="1"/>
    <col min="11" max="11" width="33.1640625" style="28" bestFit="1" customWidth="1"/>
    <col min="12" max="12" width="29.1640625" style="28" bestFit="1" customWidth="1"/>
    <col min="13" max="13" width="28.83203125" style="28" bestFit="1" customWidth="1"/>
    <col min="14" max="14" width="35" style="28" bestFit="1" customWidth="1"/>
    <col min="15" max="15" width="28.6640625" style="28" bestFit="1" customWidth="1"/>
    <col min="16" max="16" width="44.1640625" style="28" bestFit="1" customWidth="1"/>
    <col min="17" max="17" width="10.33203125" style="28" bestFit="1" customWidth="1"/>
    <col min="18" max="16384" width="8.83203125" style="28"/>
  </cols>
  <sheetData>
    <row r="1" spans="1:16" ht="15">
      <c r="A1" s="434" t="s">
        <v>251</v>
      </c>
      <c r="B1" s="434"/>
      <c r="C1" s="434"/>
      <c r="D1" s="434"/>
      <c r="E1" s="434"/>
      <c r="F1" s="434"/>
      <c r="G1" s="434"/>
      <c r="H1" s="434"/>
      <c r="I1" s="434"/>
      <c r="J1" s="434"/>
      <c r="K1" s="434"/>
      <c r="L1" s="434"/>
      <c r="M1" s="434"/>
      <c r="N1" s="434"/>
      <c r="O1" s="434"/>
      <c r="P1" s="434"/>
    </row>
    <row r="2" spans="1:16" ht="15">
      <c r="A2" s="434" t="s">
        <v>252</v>
      </c>
      <c r="B2" s="434"/>
      <c r="C2" s="434"/>
      <c r="D2" s="434"/>
      <c r="E2" s="434"/>
      <c r="F2" s="434"/>
      <c r="G2" s="434"/>
      <c r="H2" s="434"/>
      <c r="I2" s="434"/>
      <c r="J2" s="434"/>
      <c r="K2" s="434"/>
      <c r="L2" s="434"/>
      <c r="M2" s="434"/>
      <c r="N2" s="434"/>
      <c r="O2" s="434"/>
      <c r="P2" s="434"/>
    </row>
    <row r="3" spans="1:16" ht="16" thickBot="1">
      <c r="A3" s="108"/>
      <c r="B3" s="108"/>
      <c r="C3" s="159"/>
      <c r="D3" s="108" t="s">
        <v>398</v>
      </c>
      <c r="E3" s="148"/>
      <c r="F3" s="148"/>
      <c r="G3" s="148"/>
      <c r="H3" s="149"/>
      <c r="I3" s="148"/>
      <c r="J3" s="148"/>
      <c r="K3" s="108" t="s">
        <v>397</v>
      </c>
      <c r="L3" s="435" t="s">
        <v>253</v>
      </c>
      <c r="M3" s="436"/>
      <c r="N3" s="436"/>
      <c r="O3" s="436"/>
      <c r="P3" s="437"/>
    </row>
    <row r="4" spans="1:16" ht="16" thickBot="1">
      <c r="A4" s="289" t="s">
        <v>346</v>
      </c>
      <c r="B4" s="171" t="s">
        <v>345</v>
      </c>
      <c r="C4" s="193" t="s">
        <v>10</v>
      </c>
      <c r="D4" s="194" t="s">
        <v>344</v>
      </c>
      <c r="E4" s="170" t="s">
        <v>349</v>
      </c>
      <c r="F4" s="170" t="s">
        <v>350</v>
      </c>
      <c r="G4" s="170" t="s">
        <v>352</v>
      </c>
      <c r="H4" s="170" t="s">
        <v>356</v>
      </c>
      <c r="I4" s="170" t="s">
        <v>351</v>
      </c>
      <c r="J4" s="109"/>
      <c r="K4" s="109" t="s">
        <v>254</v>
      </c>
      <c r="L4" s="109" t="s">
        <v>255</v>
      </c>
      <c r="M4" s="109" t="s">
        <v>256</v>
      </c>
      <c r="N4" s="109" t="s">
        <v>257</v>
      </c>
      <c r="O4" s="109" t="s">
        <v>258</v>
      </c>
      <c r="P4" s="109" t="s">
        <v>259</v>
      </c>
    </row>
    <row r="5" spans="1:16" ht="49.5" customHeight="1">
      <c r="A5" s="431" t="s">
        <v>18</v>
      </c>
      <c r="B5" s="431" t="s">
        <v>447</v>
      </c>
      <c r="C5" s="191">
        <v>1</v>
      </c>
      <c r="D5" s="192" t="s">
        <v>339</v>
      </c>
      <c r="E5" s="153" t="s">
        <v>343</v>
      </c>
      <c r="F5" s="110" t="s">
        <v>342</v>
      </c>
      <c r="G5" s="110" t="s">
        <v>354</v>
      </c>
      <c r="H5" s="110" t="s">
        <v>357</v>
      </c>
      <c r="I5" s="183" t="s">
        <v>365</v>
      </c>
      <c r="K5" s="110" t="s">
        <v>339</v>
      </c>
      <c r="L5" s="111" t="s">
        <v>260</v>
      </c>
      <c r="M5" s="112" t="s">
        <v>261</v>
      </c>
      <c r="N5" s="112" t="s">
        <v>262</v>
      </c>
      <c r="O5" s="112" t="s">
        <v>263</v>
      </c>
      <c r="P5" s="111"/>
    </row>
    <row r="6" spans="1:16" ht="49.5" customHeight="1">
      <c r="A6" s="432"/>
      <c r="B6" s="432"/>
      <c r="C6" s="177">
        <v>2</v>
      </c>
      <c r="D6" s="178" t="s">
        <v>340</v>
      </c>
      <c r="E6" s="153" t="s">
        <v>363</v>
      </c>
      <c r="F6" s="110" t="s">
        <v>342</v>
      </c>
      <c r="G6" s="110" t="s">
        <v>360</v>
      </c>
      <c r="H6" s="110" t="s">
        <v>355</v>
      </c>
      <c r="I6" s="183" t="s">
        <v>365</v>
      </c>
      <c r="K6" s="110" t="s">
        <v>340</v>
      </c>
      <c r="L6" s="111" t="s">
        <v>264</v>
      </c>
      <c r="M6" s="111" t="s">
        <v>265</v>
      </c>
      <c r="N6" s="111" t="s">
        <v>266</v>
      </c>
      <c r="O6" s="112" t="s">
        <v>263</v>
      </c>
      <c r="P6" s="113"/>
    </row>
    <row r="7" spans="1:16" ht="49.5" customHeight="1">
      <c r="A7" s="432"/>
      <c r="B7" s="432"/>
      <c r="C7" s="177">
        <v>3</v>
      </c>
      <c r="D7" s="179" t="s">
        <v>267</v>
      </c>
      <c r="E7" s="155" t="s">
        <v>367</v>
      </c>
      <c r="F7" s="114" t="s">
        <v>342</v>
      </c>
      <c r="G7" s="114" t="s">
        <v>360</v>
      </c>
      <c r="H7" s="114" t="s">
        <v>355</v>
      </c>
      <c r="I7" s="184" t="s">
        <v>365</v>
      </c>
      <c r="K7" s="114" t="s">
        <v>267</v>
      </c>
      <c r="L7" s="115" t="s">
        <v>268</v>
      </c>
      <c r="M7" s="115" t="s">
        <v>265</v>
      </c>
      <c r="N7" s="115" t="s">
        <v>266</v>
      </c>
      <c r="O7" s="116" t="s">
        <v>263</v>
      </c>
      <c r="P7" s="117"/>
    </row>
    <row r="8" spans="1:16" ht="49.5" customHeight="1">
      <c r="A8" s="432"/>
      <c r="B8" s="432"/>
      <c r="C8" s="177">
        <v>4</v>
      </c>
      <c r="D8" s="180" t="s">
        <v>383</v>
      </c>
      <c r="E8" s="155" t="s">
        <v>364</v>
      </c>
      <c r="F8" s="144" t="s">
        <v>342</v>
      </c>
      <c r="G8" s="144" t="s">
        <v>360</v>
      </c>
      <c r="H8" s="144" t="s">
        <v>355</v>
      </c>
      <c r="I8" s="290" t="s">
        <v>371</v>
      </c>
      <c r="K8" s="144"/>
      <c r="L8" s="145"/>
      <c r="M8" s="145"/>
      <c r="N8" s="145"/>
      <c r="O8" s="146"/>
      <c r="P8" s="147"/>
    </row>
    <row r="9" spans="1:16" ht="49.5" customHeight="1" thickBot="1">
      <c r="A9" s="433"/>
      <c r="B9" s="433"/>
      <c r="C9" s="177">
        <v>5</v>
      </c>
      <c r="D9" s="181" t="s">
        <v>341</v>
      </c>
      <c r="E9" s="156" t="s">
        <v>347</v>
      </c>
      <c r="F9" s="118" t="s">
        <v>369</v>
      </c>
      <c r="G9" s="118" t="s">
        <v>360</v>
      </c>
      <c r="H9" s="118" t="s">
        <v>355</v>
      </c>
      <c r="I9" s="291" t="s">
        <v>366</v>
      </c>
      <c r="K9" s="118" t="s">
        <v>341</v>
      </c>
      <c r="L9" s="119" t="s">
        <v>269</v>
      </c>
      <c r="M9" s="119" t="s">
        <v>265</v>
      </c>
      <c r="N9" s="119" t="s">
        <v>266</v>
      </c>
      <c r="O9" s="120" t="s">
        <v>270</v>
      </c>
      <c r="P9" s="121" t="s">
        <v>271</v>
      </c>
    </row>
    <row r="10" spans="1:16" ht="54.75" customHeight="1">
      <c r="A10" s="431" t="s">
        <v>18</v>
      </c>
      <c r="B10" s="428" t="s">
        <v>448</v>
      </c>
      <c r="C10" s="177">
        <v>1</v>
      </c>
      <c r="D10" s="178" t="s">
        <v>272</v>
      </c>
      <c r="E10" s="153" t="s">
        <v>368</v>
      </c>
      <c r="F10" s="110" t="s">
        <v>359</v>
      </c>
      <c r="G10" s="110" t="s">
        <v>360</v>
      </c>
      <c r="H10" s="110" t="s">
        <v>355</v>
      </c>
      <c r="I10" s="183" t="s">
        <v>366</v>
      </c>
      <c r="K10" s="110" t="s">
        <v>272</v>
      </c>
      <c r="L10" s="111" t="s">
        <v>273</v>
      </c>
      <c r="M10" s="111" t="s">
        <v>274</v>
      </c>
      <c r="N10" s="111" t="s">
        <v>275</v>
      </c>
      <c r="O10" s="113" t="s">
        <v>270</v>
      </c>
      <c r="P10" s="111"/>
    </row>
    <row r="11" spans="1:16" ht="54.75" customHeight="1">
      <c r="A11" s="432"/>
      <c r="B11" s="429"/>
      <c r="C11" s="177">
        <v>2</v>
      </c>
      <c r="D11" s="179" t="s">
        <v>276</v>
      </c>
      <c r="E11" s="154" t="s">
        <v>467</v>
      </c>
      <c r="F11" s="114" t="s">
        <v>342</v>
      </c>
      <c r="G11" s="114" t="s">
        <v>360</v>
      </c>
      <c r="H11" s="114" t="s">
        <v>355</v>
      </c>
      <c r="I11" s="184" t="s">
        <v>366</v>
      </c>
      <c r="K11" s="114" t="s">
        <v>276</v>
      </c>
      <c r="L11" s="115" t="s">
        <v>277</v>
      </c>
      <c r="M11" s="115" t="s">
        <v>278</v>
      </c>
      <c r="N11" s="115" t="s">
        <v>275</v>
      </c>
      <c r="O11" s="115" t="s">
        <v>270</v>
      </c>
      <c r="P11" s="115"/>
    </row>
    <row r="12" spans="1:16" s="123" customFormat="1" ht="54.75" customHeight="1" thickBot="1">
      <c r="A12" s="432"/>
      <c r="B12" s="430"/>
      <c r="C12" s="177">
        <v>3</v>
      </c>
      <c r="D12" s="182" t="s">
        <v>279</v>
      </c>
      <c r="E12" s="157" t="s">
        <v>468</v>
      </c>
      <c r="F12" s="119" t="s">
        <v>370</v>
      </c>
      <c r="G12" s="122" t="s">
        <v>358</v>
      </c>
      <c r="H12" s="122" t="s">
        <v>355</v>
      </c>
      <c r="I12" s="292" t="s">
        <v>366</v>
      </c>
      <c r="K12" s="122" t="s">
        <v>279</v>
      </c>
      <c r="L12" s="119" t="s">
        <v>280</v>
      </c>
      <c r="M12" s="119" t="s">
        <v>278</v>
      </c>
      <c r="N12" s="119" t="s">
        <v>281</v>
      </c>
      <c r="O12" s="119" t="s">
        <v>270</v>
      </c>
      <c r="P12" s="119" t="s">
        <v>282</v>
      </c>
    </row>
    <row r="13" spans="1:16" ht="60" customHeight="1">
      <c r="A13" s="431" t="s">
        <v>18</v>
      </c>
      <c r="B13" s="428" t="s">
        <v>449</v>
      </c>
      <c r="C13" s="177">
        <v>1</v>
      </c>
      <c r="D13" s="183" t="s">
        <v>384</v>
      </c>
      <c r="E13" s="153" t="s">
        <v>470</v>
      </c>
      <c r="F13" s="168" t="s">
        <v>359</v>
      </c>
      <c r="G13" s="110" t="s">
        <v>361</v>
      </c>
      <c r="H13" s="110" t="s">
        <v>372</v>
      </c>
      <c r="I13" s="183" t="s">
        <v>365</v>
      </c>
      <c r="K13" s="110" t="s">
        <v>283</v>
      </c>
      <c r="L13" s="111" t="s">
        <v>284</v>
      </c>
      <c r="M13" s="111" t="s">
        <v>285</v>
      </c>
      <c r="N13" s="111" t="s">
        <v>286</v>
      </c>
      <c r="O13" s="112" t="s">
        <v>263</v>
      </c>
      <c r="P13" s="111"/>
    </row>
    <row r="14" spans="1:16" ht="60" customHeight="1">
      <c r="A14" s="432"/>
      <c r="B14" s="429"/>
      <c r="C14" s="177">
        <v>2</v>
      </c>
      <c r="D14" s="184" t="s">
        <v>385</v>
      </c>
      <c r="E14" s="154" t="s">
        <v>469</v>
      </c>
      <c r="F14" s="114" t="s">
        <v>342</v>
      </c>
      <c r="G14" s="114" t="s">
        <v>361</v>
      </c>
      <c r="H14" s="114" t="s">
        <v>355</v>
      </c>
      <c r="I14" s="184" t="s">
        <v>365</v>
      </c>
      <c r="K14" s="114" t="s">
        <v>287</v>
      </c>
      <c r="L14" s="115" t="s">
        <v>288</v>
      </c>
      <c r="M14" s="115" t="s">
        <v>285</v>
      </c>
      <c r="N14" s="115" t="s">
        <v>286</v>
      </c>
      <c r="O14" s="115" t="s">
        <v>263</v>
      </c>
      <c r="P14" s="115"/>
    </row>
    <row r="15" spans="1:16" ht="66.75" customHeight="1" thickBot="1">
      <c r="A15" s="432"/>
      <c r="B15" s="430"/>
      <c r="C15" s="177">
        <v>3</v>
      </c>
      <c r="D15" s="185" t="s">
        <v>386</v>
      </c>
      <c r="E15" s="172" t="s">
        <v>469</v>
      </c>
      <c r="F15" s="124" t="s">
        <v>342</v>
      </c>
      <c r="G15" s="124" t="s">
        <v>361</v>
      </c>
      <c r="H15" s="124" t="s">
        <v>355</v>
      </c>
      <c r="I15" s="185" t="s">
        <v>365</v>
      </c>
      <c r="K15" s="124" t="s">
        <v>289</v>
      </c>
      <c r="L15" s="125" t="s">
        <v>288</v>
      </c>
      <c r="M15" s="125" t="s">
        <v>285</v>
      </c>
      <c r="N15" s="125" t="s">
        <v>290</v>
      </c>
      <c r="O15" s="125" t="s">
        <v>263</v>
      </c>
      <c r="P15" s="125" t="s">
        <v>291</v>
      </c>
    </row>
    <row r="16" spans="1:16" ht="39" customHeight="1">
      <c r="A16" s="431" t="s">
        <v>18</v>
      </c>
      <c r="B16" s="428" t="s">
        <v>455</v>
      </c>
      <c r="C16" s="186">
        <v>1</v>
      </c>
      <c r="D16" s="187" t="s">
        <v>4</v>
      </c>
      <c r="E16" s="173" t="s">
        <v>362</v>
      </c>
      <c r="F16" s="126" t="s">
        <v>390</v>
      </c>
      <c r="G16" s="126" t="s">
        <v>361</v>
      </c>
      <c r="H16" s="126" t="s">
        <v>355</v>
      </c>
      <c r="I16" s="187" t="s">
        <v>365</v>
      </c>
      <c r="K16" s="126" t="s">
        <v>292</v>
      </c>
      <c r="L16" s="111" t="s">
        <v>293</v>
      </c>
      <c r="M16" s="111" t="s">
        <v>294</v>
      </c>
      <c r="N16" s="111" t="s">
        <v>295</v>
      </c>
      <c r="O16" s="112" t="s">
        <v>263</v>
      </c>
      <c r="P16" s="113"/>
    </row>
    <row r="17" spans="1:16" ht="39" customHeight="1">
      <c r="A17" s="432"/>
      <c r="B17" s="429"/>
      <c r="C17" s="186">
        <v>2</v>
      </c>
      <c r="D17" s="188" t="s">
        <v>3</v>
      </c>
      <c r="E17" s="174" t="s">
        <v>362</v>
      </c>
      <c r="F17" s="127" t="s">
        <v>342</v>
      </c>
      <c r="G17" s="127" t="s">
        <v>358</v>
      </c>
      <c r="H17" s="127" t="s">
        <v>355</v>
      </c>
      <c r="I17" s="188" t="s">
        <v>366</v>
      </c>
      <c r="K17" s="127" t="s">
        <v>296</v>
      </c>
      <c r="L17" s="115" t="s">
        <v>293</v>
      </c>
      <c r="M17" s="115" t="s">
        <v>297</v>
      </c>
      <c r="N17" s="115" t="s">
        <v>290</v>
      </c>
      <c r="O17" s="115" t="s">
        <v>270</v>
      </c>
      <c r="P17" s="115"/>
    </row>
    <row r="18" spans="1:16" ht="39" customHeight="1" thickBot="1">
      <c r="A18" s="432"/>
      <c r="B18" s="430"/>
      <c r="C18" s="189">
        <v>3</v>
      </c>
      <c r="D18" s="190" t="s">
        <v>2</v>
      </c>
      <c r="E18" s="175" t="s">
        <v>362</v>
      </c>
      <c r="F18" s="128" t="s">
        <v>342</v>
      </c>
      <c r="G18" s="128" t="s">
        <v>358</v>
      </c>
      <c r="H18" s="128" t="s">
        <v>355</v>
      </c>
      <c r="I18" s="293" t="s">
        <v>366</v>
      </c>
      <c r="K18" s="128" t="s">
        <v>298</v>
      </c>
      <c r="L18" s="125" t="s">
        <v>293</v>
      </c>
      <c r="M18" s="125" t="s">
        <v>297</v>
      </c>
      <c r="N18" s="125" t="s">
        <v>290</v>
      </c>
      <c r="O18" s="129" t="s">
        <v>270</v>
      </c>
      <c r="P18" s="125" t="s">
        <v>299</v>
      </c>
    </row>
    <row r="19" spans="1:16" ht="33" customHeight="1">
      <c r="A19" s="431" t="s">
        <v>348</v>
      </c>
      <c r="B19" s="428" t="s">
        <v>438</v>
      </c>
      <c r="C19" s="176">
        <v>1</v>
      </c>
      <c r="D19" s="112" t="s">
        <v>387</v>
      </c>
      <c r="E19" s="112" t="s">
        <v>347</v>
      </c>
      <c r="F19" s="112" t="s">
        <v>388</v>
      </c>
      <c r="G19" s="112" t="s">
        <v>396</v>
      </c>
      <c r="H19" s="126" t="s">
        <v>355</v>
      </c>
      <c r="I19" s="294" t="s">
        <v>270</v>
      </c>
      <c r="K19" s="112" t="s">
        <v>300</v>
      </c>
      <c r="L19" s="112" t="s">
        <v>381</v>
      </c>
      <c r="M19" s="112" t="s">
        <v>373</v>
      </c>
      <c r="N19" s="112" t="s">
        <v>275</v>
      </c>
      <c r="O19" s="112" t="s">
        <v>270</v>
      </c>
      <c r="P19" s="126" t="s">
        <v>301</v>
      </c>
    </row>
    <row r="20" spans="1:16" ht="33" customHeight="1">
      <c r="A20" s="432"/>
      <c r="B20" s="429"/>
      <c r="C20" s="160">
        <v>2</v>
      </c>
      <c r="D20" s="130" t="s">
        <v>391</v>
      </c>
      <c r="E20" s="130" t="s">
        <v>389</v>
      </c>
      <c r="F20" s="130" t="s">
        <v>342</v>
      </c>
      <c r="G20" s="127" t="s">
        <v>358</v>
      </c>
      <c r="H20" s="127" t="s">
        <v>355</v>
      </c>
      <c r="I20" s="295" t="s">
        <v>270</v>
      </c>
      <c r="K20" s="130" t="s">
        <v>302</v>
      </c>
      <c r="L20" s="130" t="s">
        <v>374</v>
      </c>
      <c r="M20" s="130" t="s">
        <v>285</v>
      </c>
      <c r="N20" s="130" t="s">
        <v>290</v>
      </c>
      <c r="O20" s="130" t="s">
        <v>270</v>
      </c>
      <c r="P20" s="127"/>
    </row>
    <row r="21" spans="1:16" ht="33" customHeight="1" thickBot="1">
      <c r="A21" s="432"/>
      <c r="B21" s="430"/>
      <c r="C21" s="160">
        <v>3</v>
      </c>
      <c r="D21" s="131" t="s">
        <v>392</v>
      </c>
      <c r="E21" s="131" t="s">
        <v>389</v>
      </c>
      <c r="F21" s="124" t="s">
        <v>369</v>
      </c>
      <c r="G21" s="118" t="s">
        <v>358</v>
      </c>
      <c r="H21" s="128" t="s">
        <v>355</v>
      </c>
      <c r="I21" s="296" t="s">
        <v>270</v>
      </c>
      <c r="K21" s="131" t="s">
        <v>303</v>
      </c>
      <c r="L21" s="131" t="s">
        <v>375</v>
      </c>
      <c r="M21" s="131" t="s">
        <v>379</v>
      </c>
      <c r="N21" s="131" t="s">
        <v>281</v>
      </c>
      <c r="O21" s="131" t="s">
        <v>270</v>
      </c>
      <c r="P21" s="128"/>
    </row>
    <row r="22" spans="1:16" ht="49.5" customHeight="1">
      <c r="A22" s="431" t="s">
        <v>18</v>
      </c>
      <c r="B22" s="428" t="s">
        <v>405</v>
      </c>
      <c r="C22" s="161">
        <v>1</v>
      </c>
      <c r="D22" s="132" t="s">
        <v>401</v>
      </c>
      <c r="E22" s="132" t="s">
        <v>407</v>
      </c>
      <c r="F22" s="132" t="s">
        <v>373</v>
      </c>
      <c r="G22" s="132" t="s">
        <v>275</v>
      </c>
      <c r="H22" s="132"/>
      <c r="I22" s="297" t="s">
        <v>270</v>
      </c>
      <c r="K22" s="132" t="s">
        <v>304</v>
      </c>
      <c r="L22" s="112" t="s">
        <v>376</v>
      </c>
      <c r="M22" s="112" t="s">
        <v>373</v>
      </c>
      <c r="N22" s="112" t="s">
        <v>275</v>
      </c>
      <c r="O22" s="112" t="s">
        <v>270</v>
      </c>
      <c r="P22" s="112"/>
    </row>
    <row r="23" spans="1:16" ht="79" customHeight="1">
      <c r="A23" s="432"/>
      <c r="B23" s="429"/>
      <c r="C23" s="161">
        <v>2</v>
      </c>
      <c r="D23" s="133" t="s">
        <v>399</v>
      </c>
      <c r="E23" s="130" t="s">
        <v>408</v>
      </c>
      <c r="F23" s="130" t="s">
        <v>285</v>
      </c>
      <c r="G23" s="130" t="s">
        <v>286</v>
      </c>
      <c r="H23" s="134"/>
      <c r="I23" s="298" t="s">
        <v>270</v>
      </c>
      <c r="K23" s="133" t="s">
        <v>305</v>
      </c>
      <c r="L23" s="130" t="s">
        <v>377</v>
      </c>
      <c r="M23" s="130" t="s">
        <v>285</v>
      </c>
      <c r="N23" s="130" t="s">
        <v>286</v>
      </c>
      <c r="O23" s="134" t="s">
        <v>270</v>
      </c>
      <c r="P23" s="130"/>
    </row>
    <row r="24" spans="1:16" ht="49.5" customHeight="1" thickBot="1">
      <c r="A24" s="432"/>
      <c r="B24" s="430"/>
      <c r="C24" s="161">
        <v>3</v>
      </c>
      <c r="D24" s="135" t="s">
        <v>400</v>
      </c>
      <c r="E24" s="136" t="s">
        <v>409</v>
      </c>
      <c r="F24" s="136" t="s">
        <v>379</v>
      </c>
      <c r="G24" s="136" t="s">
        <v>281</v>
      </c>
      <c r="H24" s="137"/>
      <c r="I24" s="299" t="s">
        <v>270</v>
      </c>
      <c r="K24" s="135" t="s">
        <v>306</v>
      </c>
      <c r="L24" s="136" t="s">
        <v>378</v>
      </c>
      <c r="M24" s="136" t="s">
        <v>379</v>
      </c>
      <c r="N24" s="136" t="s">
        <v>281</v>
      </c>
      <c r="O24" s="137" t="s">
        <v>270</v>
      </c>
      <c r="P24" s="136"/>
    </row>
    <row r="25" spans="1:16" ht="60.75" customHeight="1">
      <c r="A25" s="431" t="s">
        <v>348</v>
      </c>
      <c r="B25" s="428" t="s">
        <v>406</v>
      </c>
      <c r="C25" s="161">
        <v>1</v>
      </c>
      <c r="D25" s="112" t="s">
        <v>393</v>
      </c>
      <c r="E25" s="138" t="s">
        <v>411</v>
      </c>
      <c r="F25" s="138" t="s">
        <v>285</v>
      </c>
      <c r="G25" s="138" t="s">
        <v>295</v>
      </c>
      <c r="H25" s="112"/>
      <c r="I25" s="300" t="s">
        <v>270</v>
      </c>
      <c r="K25" s="112" t="s">
        <v>307</v>
      </c>
      <c r="L25" s="138" t="s">
        <v>382</v>
      </c>
      <c r="M25" s="138" t="s">
        <v>285</v>
      </c>
      <c r="N25" s="138" t="s">
        <v>295</v>
      </c>
      <c r="O25" s="138" t="s">
        <v>270</v>
      </c>
      <c r="P25" s="138"/>
    </row>
    <row r="26" spans="1:16" ht="48.75" customHeight="1">
      <c r="A26" s="432"/>
      <c r="B26" s="429"/>
      <c r="C26" s="162">
        <v>2</v>
      </c>
      <c r="D26" s="130" t="s">
        <v>394</v>
      </c>
      <c r="E26" s="130" t="s">
        <v>410</v>
      </c>
      <c r="F26" s="130" t="s">
        <v>285</v>
      </c>
      <c r="G26" s="130" t="s">
        <v>281</v>
      </c>
      <c r="H26" s="130"/>
      <c r="I26" s="295" t="s">
        <v>270</v>
      </c>
      <c r="K26" s="130" t="s">
        <v>308</v>
      </c>
      <c r="L26" s="130" t="s">
        <v>380</v>
      </c>
      <c r="M26" s="130" t="s">
        <v>285</v>
      </c>
      <c r="N26" s="130" t="s">
        <v>281</v>
      </c>
      <c r="O26" s="130" t="s">
        <v>270</v>
      </c>
      <c r="P26" s="130"/>
    </row>
    <row r="27" spans="1:16" ht="48.75" customHeight="1" thickBot="1">
      <c r="A27" s="433"/>
      <c r="B27" s="430"/>
      <c r="C27" s="301">
        <v>3</v>
      </c>
      <c r="D27" s="302" t="s">
        <v>395</v>
      </c>
      <c r="E27" s="303" t="s">
        <v>410</v>
      </c>
      <c r="F27" s="303" t="s">
        <v>379</v>
      </c>
      <c r="G27" s="303" t="s">
        <v>281</v>
      </c>
      <c r="H27" s="302"/>
      <c r="I27" s="304" t="s">
        <v>270</v>
      </c>
      <c r="K27" s="137" t="s">
        <v>309</v>
      </c>
      <c r="L27" s="136" t="s">
        <v>380</v>
      </c>
      <c r="M27" s="136" t="s">
        <v>379</v>
      </c>
      <c r="N27" s="136" t="s">
        <v>281</v>
      </c>
      <c r="O27" s="136" t="s">
        <v>270</v>
      </c>
      <c r="P27" s="136"/>
    </row>
  </sheetData>
  <sheetProtection password="9B76" sheet="1" objects="1" scenarios="1"/>
  <customSheetViews>
    <customSheetView guid="{B86257EE-0156-41F8-B4C2-E78E8DECB83A}" topLeftCell="E22">
      <selection activeCell="O29" sqref="O29"/>
      <pageSetup paperSize="9" orientation="portrait"/>
    </customSheetView>
    <customSheetView guid="{033A95D0-94F2-0942-BC86-50E37364F610}" topLeftCell="E22">
      <selection activeCell="O29" sqref="O29"/>
      <pageSetup paperSize="9" orientation="portrait"/>
    </customSheetView>
  </customSheetViews>
  <mergeCells count="17">
    <mergeCell ref="A1:P1"/>
    <mergeCell ref="A2:P2"/>
    <mergeCell ref="L3:P3"/>
    <mergeCell ref="B5:B9"/>
    <mergeCell ref="B10:B12"/>
    <mergeCell ref="A5:A9"/>
    <mergeCell ref="A10:A12"/>
    <mergeCell ref="B25:B27"/>
    <mergeCell ref="A25:A27"/>
    <mergeCell ref="A13:A15"/>
    <mergeCell ref="A16:A18"/>
    <mergeCell ref="A19:A21"/>
    <mergeCell ref="A22:A24"/>
    <mergeCell ref="B13:B15"/>
    <mergeCell ref="B16:B18"/>
    <mergeCell ref="B19:B21"/>
    <mergeCell ref="B22:B24"/>
  </mergeCell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theme="6" tint="0.39997558519241921"/>
  </sheetPr>
  <dimension ref="A1:AD172"/>
  <sheetViews>
    <sheetView workbookViewId="0">
      <selection activeCell="AF5" sqref="AF5"/>
    </sheetView>
  </sheetViews>
  <sheetFormatPr baseColWidth="10" defaultColWidth="8.83203125" defaultRowHeight="28.5" customHeight="1" x14ac:dyDescent="0"/>
  <cols>
    <col min="1" max="1" width="14.6640625" customWidth="1"/>
    <col min="2" max="8" width="7.5" customWidth="1"/>
    <col min="10" max="10" width="10.6640625" customWidth="1"/>
    <col min="11" max="11" width="9.33203125" customWidth="1"/>
    <col min="12" max="12" width="11.5" customWidth="1"/>
    <col min="13" max="14" width="8.83203125" hidden="1" customWidth="1"/>
    <col min="15" max="15" width="12.83203125" hidden="1" customWidth="1"/>
    <col min="16" max="16" width="8.83203125" hidden="1" customWidth="1"/>
    <col min="17" max="17" width="11.5" style="31" customWidth="1"/>
    <col min="18" max="18" width="13.6640625" style="31" customWidth="1"/>
    <col min="21" max="21" width="8.83203125" style="28" hidden="1" customWidth="1"/>
    <col min="22" max="22" width="8.83203125" style="28"/>
    <col min="25" max="25" width="15.33203125" customWidth="1"/>
    <col min="26" max="26" width="10.5" customWidth="1"/>
    <col min="27" max="27" width="8.83203125" style="28"/>
    <col min="28" max="28" width="11.33203125" style="11" customWidth="1"/>
    <col min="30" max="30" width="0" hidden="1" customWidth="1"/>
  </cols>
  <sheetData>
    <row r="1" spans="1:30" s="28" customFormat="1" ht="28.5" customHeight="1" thickBot="1">
      <c r="A1" s="366"/>
      <c r="B1" s="366"/>
      <c r="C1" s="366"/>
      <c r="D1" s="366"/>
      <c r="I1" s="222" t="s">
        <v>315</v>
      </c>
      <c r="J1" s="223"/>
      <c r="K1" s="382">
        <v>2</v>
      </c>
      <c r="P1" s="224" t="s">
        <v>336</v>
      </c>
      <c r="Q1" s="222" t="s">
        <v>336</v>
      </c>
      <c r="R1" s="223"/>
      <c r="S1" s="383">
        <v>60</v>
      </c>
      <c r="T1" s="382">
        <v>30</v>
      </c>
      <c r="X1" s="222" t="s">
        <v>337</v>
      </c>
      <c r="Y1" s="223"/>
      <c r="Z1" s="223"/>
      <c r="AA1" s="383">
        <v>2</v>
      </c>
      <c r="AB1" s="382">
        <v>1.2</v>
      </c>
    </row>
    <row r="2" spans="1:30" s="28" customFormat="1" ht="28.5" customHeight="1" thickBot="1">
      <c r="S2" s="226"/>
      <c r="T2" s="226"/>
      <c r="X2" s="222" t="s">
        <v>426</v>
      </c>
      <c r="Y2" s="223"/>
      <c r="Z2" s="223"/>
      <c r="AA2" s="383">
        <v>100</v>
      </c>
      <c r="AB2" s="225">
        <v>0</v>
      </c>
    </row>
    <row r="3" spans="1:30" ht="28.5" customHeight="1" thickBot="1">
      <c r="B3" s="235" t="s">
        <v>313</v>
      </c>
      <c r="C3" s="232"/>
      <c r="D3" s="232"/>
      <c r="E3" s="230"/>
      <c r="F3" s="230"/>
      <c r="G3" s="230"/>
      <c r="H3" s="230"/>
      <c r="I3" s="236" t="s">
        <v>433</v>
      </c>
      <c r="J3" s="236"/>
      <c r="K3" s="236"/>
      <c r="L3" s="236"/>
      <c r="M3" s="232"/>
      <c r="N3" s="232"/>
      <c r="O3" s="232"/>
      <c r="P3" s="232"/>
      <c r="Q3" s="244" t="s">
        <v>432</v>
      </c>
      <c r="R3" s="245"/>
      <c r="S3" s="245"/>
      <c r="T3" s="245"/>
      <c r="U3" s="236"/>
      <c r="V3" s="246"/>
      <c r="W3" s="28"/>
      <c r="AC3" s="28"/>
      <c r="AD3" s="34"/>
    </row>
    <row r="4" spans="1:30" ht="28.5" customHeight="1" thickBot="1">
      <c r="A4" s="229" t="s">
        <v>430</v>
      </c>
      <c r="B4" s="229" t="s">
        <v>429</v>
      </c>
      <c r="C4" s="230"/>
      <c r="D4" s="230"/>
      <c r="E4" s="230"/>
      <c r="F4" s="230"/>
      <c r="G4" s="230"/>
      <c r="H4" s="230"/>
      <c r="I4" s="241" t="s">
        <v>431</v>
      </c>
      <c r="J4" s="231" t="s">
        <v>247</v>
      </c>
      <c r="K4" s="231" t="s">
        <v>248</v>
      </c>
      <c r="L4" s="242" t="s">
        <v>249</v>
      </c>
      <c r="M4" s="232"/>
      <c r="N4" s="232"/>
      <c r="O4" s="232"/>
      <c r="P4" s="232"/>
      <c r="Q4" s="241" t="s">
        <v>431</v>
      </c>
      <c r="R4" s="231" t="s">
        <v>247</v>
      </c>
      <c r="S4" s="231" t="s">
        <v>248</v>
      </c>
      <c r="T4" s="231" t="s">
        <v>249</v>
      </c>
      <c r="U4" s="232"/>
      <c r="V4" s="233"/>
      <c r="W4" s="219"/>
      <c r="X4" s="59" t="s">
        <v>427</v>
      </c>
      <c r="Y4" s="57"/>
      <c r="Z4" s="58"/>
      <c r="AA4" s="234" t="s">
        <v>428</v>
      </c>
      <c r="AB4" s="228"/>
      <c r="AC4" s="28"/>
      <c r="AD4" s="34"/>
    </row>
    <row r="5" spans="1:30" ht="92.25" customHeight="1">
      <c r="A5" s="243" t="s">
        <v>22</v>
      </c>
      <c r="B5" s="63" t="s">
        <v>23</v>
      </c>
      <c r="C5" s="64" t="s">
        <v>24</v>
      </c>
      <c r="D5" s="64" t="s">
        <v>25</v>
      </c>
      <c r="E5" s="64" t="s">
        <v>26</v>
      </c>
      <c r="F5" s="64" t="s">
        <v>27</v>
      </c>
      <c r="G5" s="64" t="s">
        <v>28</v>
      </c>
      <c r="H5" s="65" t="s">
        <v>29</v>
      </c>
      <c r="I5" s="237" t="s">
        <v>30</v>
      </c>
      <c r="J5" s="238" t="s">
        <v>31</v>
      </c>
      <c r="K5" s="239" t="s">
        <v>32</v>
      </c>
      <c r="L5" s="240" t="s">
        <v>34</v>
      </c>
      <c r="M5" s="94" t="s">
        <v>36</v>
      </c>
      <c r="N5" s="95" t="s">
        <v>37</v>
      </c>
      <c r="O5" s="95" t="s">
        <v>38</v>
      </c>
      <c r="P5" s="93" t="s">
        <v>21</v>
      </c>
      <c r="Q5" s="247" t="s">
        <v>310</v>
      </c>
      <c r="R5" s="248" t="s">
        <v>246</v>
      </c>
      <c r="S5" s="249" t="s">
        <v>33</v>
      </c>
      <c r="T5" s="249" t="s">
        <v>35</v>
      </c>
      <c r="U5" s="249" t="s">
        <v>250</v>
      </c>
      <c r="V5" s="326" t="s">
        <v>312</v>
      </c>
      <c r="W5" s="105" t="s">
        <v>424</v>
      </c>
      <c r="X5" s="105" t="s">
        <v>425</v>
      </c>
      <c r="Y5" s="98" t="s">
        <v>422</v>
      </c>
      <c r="Z5" s="99" t="s">
        <v>39</v>
      </c>
      <c r="AA5" s="99" t="s">
        <v>314</v>
      </c>
      <c r="AB5" s="142" t="s">
        <v>316</v>
      </c>
      <c r="AC5" s="29"/>
      <c r="AD5" s="33" t="s">
        <v>40</v>
      </c>
    </row>
    <row r="6" spans="1:30" ht="28.5" customHeight="1">
      <c r="A6" s="60" t="s">
        <v>41</v>
      </c>
      <c r="B6" s="66">
        <v>94.09</v>
      </c>
      <c r="C6" s="35">
        <v>81.904762268066406</v>
      </c>
      <c r="D6" s="35">
        <v>92.307693481445312</v>
      </c>
      <c r="E6" s="35">
        <v>97.596153259277344</v>
      </c>
      <c r="F6" s="35">
        <v>95.192306518554688</v>
      </c>
      <c r="G6" s="35">
        <v>93.269233703613281</v>
      </c>
      <c r="H6" s="36">
        <v>93</v>
      </c>
      <c r="I6" s="50" t="s">
        <v>244</v>
      </c>
      <c r="J6" s="73" t="s">
        <v>42</v>
      </c>
      <c r="K6" s="80">
        <v>77</v>
      </c>
      <c r="L6" s="211" t="s">
        <v>43</v>
      </c>
      <c r="M6" s="89"/>
      <c r="N6" s="49"/>
      <c r="O6" s="49"/>
      <c r="P6" s="103"/>
      <c r="Q6" s="85">
        <f t="shared" ref="Q6:Q43" si="0">IF(I6="lower",1,IF(I6="high",2,IF(I6="highest",3,K$1)))</f>
        <v>1</v>
      </c>
      <c r="R6" s="53">
        <f t="shared" ref="R6:R43" si="1">IF(J6="Tier 1",1,IF(J6="Tier 2",2,IF(J6="Tier 2 watch",3,IF(J6="Tier 3",3,K$1))))</f>
        <v>1</v>
      </c>
      <c r="S6" s="53">
        <f>IF(K6&gt;=S$1,1,IF(K6&gt;=T$1,2,IF(K6&gt;0,3,K$1)))</f>
        <v>1</v>
      </c>
      <c r="T6" s="53">
        <f>IF(OR(L6="A",L6="BBB"),1,IF(OR(L6="BB",L6="B"),2,IF(OR(L6="CCC",L6="CC"),3,K$1)))</f>
        <v>1</v>
      </c>
      <c r="U6" s="53">
        <f>IF(MAX(Q6:T6)=3,3,IF(AVERAGE(Q6:T6)&gt;=1.75,3,IF(AVERAGE(Q6:T6)&gt;1,2,IF(AVERAGE(Q6:T6)=1,1,""))))</f>
        <v>1</v>
      </c>
      <c r="V6" s="81">
        <f>AVERAGE(Q6:T6)</f>
        <v>1</v>
      </c>
      <c r="W6" s="220">
        <v>18</v>
      </c>
      <c r="X6" s="221">
        <v>18</v>
      </c>
      <c r="Y6" s="56">
        <f>W6/X6</f>
        <v>1</v>
      </c>
      <c r="Z6" s="100"/>
      <c r="AA6" s="141">
        <f t="shared" ref="AA6:AA43" si="2">(V6*AA$2+Y6*AB$2)/(AA$2+AB$2)</f>
        <v>1</v>
      </c>
      <c r="AB6" s="107" t="str">
        <f t="shared" ref="AB6:AB43" si="3">IF(AA6&gt;=AA$1,"HIGH",IF(AA6&gt;=AB$1,"MEDIUM",IF(AA6&gt;=1,"LOW","")))</f>
        <v>LOW</v>
      </c>
      <c r="AC6" s="30"/>
      <c r="AD6" s="40" t="s">
        <v>44</v>
      </c>
    </row>
    <row r="7" spans="1:30" ht="28.5" customHeight="1">
      <c r="A7" s="86" t="s">
        <v>45</v>
      </c>
      <c r="B7" s="66">
        <v>69.95</v>
      </c>
      <c r="C7" s="35">
        <v>49.047618865966797</v>
      </c>
      <c r="D7" s="35">
        <v>26.44230842590332</v>
      </c>
      <c r="E7" s="35">
        <v>31.25</v>
      </c>
      <c r="F7" s="35">
        <v>18.269229888916016</v>
      </c>
      <c r="G7" s="35">
        <v>49.519229888916016</v>
      </c>
      <c r="H7" s="36">
        <v>49</v>
      </c>
      <c r="I7" s="51" t="s">
        <v>7</v>
      </c>
      <c r="J7" s="74" t="s">
        <v>46</v>
      </c>
      <c r="K7" s="82"/>
      <c r="L7" s="82"/>
      <c r="M7" s="89"/>
      <c r="N7" s="49"/>
      <c r="O7" s="49"/>
      <c r="P7" s="103"/>
      <c r="Q7" s="85">
        <f t="shared" si="0"/>
        <v>2</v>
      </c>
      <c r="R7" s="53">
        <f t="shared" si="1"/>
        <v>3</v>
      </c>
      <c r="S7" s="53">
        <f t="shared" ref="S7:S43" si="4">IF(K7&gt;=S$1,1,IF(K7&gt;=T$1,2,IF(K7&gt;0,3,K$1)))</f>
        <v>2</v>
      </c>
      <c r="T7" s="53">
        <f t="shared" ref="T7:T10" si="5">IF(OR(L7="A",L7="BBB"),1,IF(OR(L7="BB",L7="B"),2,IF(OR(L7="CCC",L7="CC"),3,K$1)))</f>
        <v>2</v>
      </c>
      <c r="U7" s="53">
        <f>IF(MAX(Q7:T7)=3,3,IF(AVERAGE(Q7:T7)&gt;=1.75,3,IF(AVERAGE(Q7:T7)&gt;1,2,IF(AVERAGE(Q7:T7)=1,1,""))))</f>
        <v>3</v>
      </c>
      <c r="V7" s="81">
        <f t="shared" ref="V7:V43" si="6">AVERAGE(Q7:T7)</f>
        <v>2.25</v>
      </c>
      <c r="W7" s="220">
        <v>4</v>
      </c>
      <c r="X7" s="221">
        <v>3</v>
      </c>
      <c r="Y7" s="56">
        <f>W7/X7</f>
        <v>1.3333333333333333</v>
      </c>
      <c r="Z7" s="100"/>
      <c r="AA7" s="141">
        <f t="shared" si="2"/>
        <v>2.25</v>
      </c>
      <c r="AB7" s="107" t="str">
        <f t="shared" si="3"/>
        <v>HIGH</v>
      </c>
      <c r="AC7" s="30"/>
      <c r="AD7" s="41" t="s">
        <v>47</v>
      </c>
    </row>
    <row r="8" spans="1:30" ht="28.5" customHeight="1">
      <c r="A8" s="86" t="s">
        <v>48</v>
      </c>
      <c r="B8" s="66">
        <v>61.58</v>
      </c>
      <c r="C8" s="35">
        <v>30</v>
      </c>
      <c r="D8" s="35">
        <v>47.596153259277344</v>
      </c>
      <c r="E8" s="35">
        <v>46.634616851806641</v>
      </c>
      <c r="F8" s="35">
        <v>51.923076629638672</v>
      </c>
      <c r="G8" s="35">
        <v>38.461540222167969</v>
      </c>
      <c r="H8" s="36">
        <v>57</v>
      </c>
      <c r="I8" s="51" t="s">
        <v>7</v>
      </c>
      <c r="J8" s="75" t="s">
        <v>49</v>
      </c>
      <c r="K8" s="83">
        <v>37</v>
      </c>
      <c r="L8" s="211" t="s">
        <v>50</v>
      </c>
      <c r="M8" s="89"/>
      <c r="N8" s="49"/>
      <c r="O8" s="49"/>
      <c r="P8" s="103"/>
      <c r="Q8" s="85">
        <f t="shared" si="0"/>
        <v>2</v>
      </c>
      <c r="R8" s="53">
        <f t="shared" si="1"/>
        <v>2</v>
      </c>
      <c r="S8" s="53">
        <f t="shared" si="4"/>
        <v>2</v>
      </c>
      <c r="T8" s="53">
        <f t="shared" si="5"/>
        <v>2</v>
      </c>
      <c r="U8" s="53">
        <f t="shared" ref="U8:U43" si="7">IF(MAX(Q8:T8)=3,3,IF(AVERAGE(Q8:T8)&gt;=1.75,3,IF(AVERAGE(Q8:T8)&gt;1,2,IF(AVERAGE(Q8:T8)=1,1,""))))</f>
        <v>3</v>
      </c>
      <c r="V8" s="81">
        <f t="shared" si="6"/>
        <v>2</v>
      </c>
      <c r="W8" s="220">
        <v>12</v>
      </c>
      <c r="X8" s="221">
        <v>6</v>
      </c>
      <c r="Y8" s="56">
        <f>W8/X8</f>
        <v>2</v>
      </c>
      <c r="Z8" s="100"/>
      <c r="AA8" s="141">
        <f t="shared" si="2"/>
        <v>2</v>
      </c>
      <c r="AB8" s="107" t="str">
        <f t="shared" si="3"/>
        <v>HIGH</v>
      </c>
      <c r="AC8" s="30"/>
      <c r="AD8" s="41" t="s">
        <v>47</v>
      </c>
    </row>
    <row r="9" spans="1:30" ht="28.5" customHeight="1">
      <c r="A9" s="86" t="s">
        <v>51</v>
      </c>
      <c r="B9" s="66">
        <v>96.06</v>
      </c>
      <c r="C9" s="35">
        <v>93.333335876464844</v>
      </c>
      <c r="D9" s="35">
        <v>95.192306518554688</v>
      </c>
      <c r="E9" s="35">
        <v>94.230766296386719</v>
      </c>
      <c r="F9" s="35">
        <v>96.634613037109375</v>
      </c>
      <c r="G9" s="35">
        <v>95.192306518554688</v>
      </c>
      <c r="H9" s="36">
        <v>94</v>
      </c>
      <c r="I9" s="50" t="s">
        <v>244</v>
      </c>
      <c r="J9" s="73" t="s">
        <v>42</v>
      </c>
      <c r="K9" s="80">
        <v>82</v>
      </c>
      <c r="L9" s="211" t="s">
        <v>50</v>
      </c>
      <c r="M9" s="89"/>
      <c r="N9" s="49"/>
      <c r="O9" s="49"/>
      <c r="P9" s="103"/>
      <c r="Q9" s="85">
        <f t="shared" si="0"/>
        <v>1</v>
      </c>
      <c r="R9" s="53">
        <f t="shared" si="1"/>
        <v>1</v>
      </c>
      <c r="S9" s="53">
        <f t="shared" si="4"/>
        <v>1</v>
      </c>
      <c r="T9" s="53">
        <f t="shared" si="5"/>
        <v>2</v>
      </c>
      <c r="U9" s="53">
        <f t="shared" si="7"/>
        <v>2</v>
      </c>
      <c r="V9" s="81">
        <f t="shared" si="6"/>
        <v>1.25</v>
      </c>
      <c r="W9" s="220">
        <v>33</v>
      </c>
      <c r="X9" s="221">
        <v>26</v>
      </c>
      <c r="Y9" s="56">
        <f t="shared" ref="Y9:Y24" si="8">W9/X9</f>
        <v>1.2692307692307692</v>
      </c>
      <c r="Z9" s="100"/>
      <c r="AA9" s="141">
        <f t="shared" si="2"/>
        <v>1.25</v>
      </c>
      <c r="AB9" s="107" t="str">
        <f t="shared" si="3"/>
        <v>MEDIUM</v>
      </c>
      <c r="AC9" s="30"/>
      <c r="AD9" s="40" t="s">
        <v>44</v>
      </c>
    </row>
    <row r="10" spans="1:30" ht="28.5" customHeight="1">
      <c r="A10" s="86" t="s">
        <v>52</v>
      </c>
      <c r="B10" s="66">
        <v>76.849999999999994</v>
      </c>
      <c r="C10" s="35">
        <v>63.809524536132812</v>
      </c>
      <c r="D10" s="35">
        <v>79.326919555664062</v>
      </c>
      <c r="E10" s="35">
        <v>89.903846740722656</v>
      </c>
      <c r="F10" s="35">
        <v>84.615386962890625</v>
      </c>
      <c r="G10" s="35">
        <v>82.211540222167969</v>
      </c>
      <c r="H10" s="36">
        <v>84</v>
      </c>
      <c r="I10" s="50" t="s">
        <v>244</v>
      </c>
      <c r="J10" s="73" t="s">
        <v>42</v>
      </c>
      <c r="K10" s="80">
        <v>67</v>
      </c>
      <c r="L10" s="211" t="s">
        <v>43</v>
      </c>
      <c r="M10" s="89" t="s">
        <v>53</v>
      </c>
      <c r="N10" s="49">
        <v>1.5</v>
      </c>
      <c r="O10" s="49" t="s">
        <v>54</v>
      </c>
      <c r="P10" s="103"/>
      <c r="Q10" s="85">
        <f t="shared" si="0"/>
        <v>1</v>
      </c>
      <c r="R10" s="53">
        <f t="shared" si="1"/>
        <v>1</v>
      </c>
      <c r="S10" s="53">
        <f t="shared" si="4"/>
        <v>1</v>
      </c>
      <c r="T10" s="53">
        <f t="shared" si="5"/>
        <v>1</v>
      </c>
      <c r="U10" s="53">
        <f t="shared" si="7"/>
        <v>1</v>
      </c>
      <c r="V10" s="81">
        <f t="shared" si="6"/>
        <v>1</v>
      </c>
      <c r="W10" s="220">
        <v>118</v>
      </c>
      <c r="X10" s="221">
        <v>107</v>
      </c>
      <c r="Y10" s="56">
        <f t="shared" si="8"/>
        <v>1.1028037383177569</v>
      </c>
      <c r="Z10" s="100"/>
      <c r="AA10" s="141">
        <f t="shared" si="2"/>
        <v>1</v>
      </c>
      <c r="AB10" s="107" t="str">
        <f t="shared" si="3"/>
        <v>LOW</v>
      </c>
      <c r="AC10" s="30"/>
      <c r="AD10" s="40" t="s">
        <v>44</v>
      </c>
    </row>
    <row r="11" spans="1:30" ht="28.5" customHeight="1">
      <c r="A11" s="86" t="s">
        <v>55</v>
      </c>
      <c r="B11" s="66">
        <v>6.9</v>
      </c>
      <c r="C11" s="35">
        <v>27.142856597900391</v>
      </c>
      <c r="D11" s="35">
        <v>67.788459777832031</v>
      </c>
      <c r="E11" s="35">
        <v>44.230770111083984</v>
      </c>
      <c r="F11" s="35">
        <v>46.153846740722656</v>
      </c>
      <c r="G11" s="35">
        <v>49.038459777832031</v>
      </c>
      <c r="H11" s="36">
        <v>36</v>
      </c>
      <c r="I11" s="51" t="s">
        <v>7</v>
      </c>
      <c r="J11" s="74" t="s">
        <v>46</v>
      </c>
      <c r="K11" s="83">
        <v>41</v>
      </c>
      <c r="L11" s="211" t="s">
        <v>56</v>
      </c>
      <c r="M11" s="89" t="s">
        <v>53</v>
      </c>
      <c r="N11" s="49">
        <v>1.5</v>
      </c>
      <c r="O11" s="49" t="s">
        <v>57</v>
      </c>
      <c r="P11" s="103"/>
      <c r="Q11" s="85">
        <f t="shared" si="0"/>
        <v>2</v>
      </c>
      <c r="R11" s="53">
        <f t="shared" si="1"/>
        <v>3</v>
      </c>
      <c r="S11" s="53">
        <f t="shared" si="4"/>
        <v>2</v>
      </c>
      <c r="T11" s="53">
        <f>IF(OR(L11="A",L11="BBB"),1,IF(OR(L11="BB",L11="B"),2,IF(OR(L11="CCC",L11="CC"),3,K$1)))</f>
        <v>3</v>
      </c>
      <c r="U11" s="53">
        <f t="shared" si="7"/>
        <v>3</v>
      </c>
      <c r="V11" s="81">
        <f t="shared" si="6"/>
        <v>2.5</v>
      </c>
      <c r="W11" s="220">
        <v>15</v>
      </c>
      <c r="X11" s="221">
        <v>7</v>
      </c>
      <c r="Y11" s="56">
        <f t="shared" si="8"/>
        <v>2.1428571428571428</v>
      </c>
      <c r="Z11" s="100" t="s">
        <v>58</v>
      </c>
      <c r="AA11" s="141">
        <f t="shared" si="2"/>
        <v>2.5</v>
      </c>
      <c r="AB11" s="107" t="str">
        <f t="shared" si="3"/>
        <v>HIGH</v>
      </c>
      <c r="AC11" s="30"/>
      <c r="AD11" s="41" t="s">
        <v>47</v>
      </c>
    </row>
    <row r="12" spans="1:30" ht="28.5" customHeight="1">
      <c r="A12" s="86" t="s">
        <v>59</v>
      </c>
      <c r="B12" s="66">
        <v>49.75</v>
      </c>
      <c r="C12" s="35">
        <v>13.809523582458496</v>
      </c>
      <c r="D12" s="35">
        <v>54.326923370361328</v>
      </c>
      <c r="E12" s="35">
        <v>67.307693481445312</v>
      </c>
      <c r="F12" s="35">
        <v>41.346153259277344</v>
      </c>
      <c r="G12" s="35">
        <v>44.230770111083984</v>
      </c>
      <c r="H12" s="36">
        <v>44</v>
      </c>
      <c r="I12" s="51" t="s">
        <v>7</v>
      </c>
      <c r="J12" s="73" t="s">
        <v>42</v>
      </c>
      <c r="K12" s="83">
        <v>37</v>
      </c>
      <c r="L12" s="211" t="s">
        <v>60</v>
      </c>
      <c r="M12" s="89" t="s">
        <v>61</v>
      </c>
      <c r="N12" s="49">
        <v>1.5</v>
      </c>
      <c r="O12" s="49" t="s">
        <v>62</v>
      </c>
      <c r="P12" s="103"/>
      <c r="Q12" s="85">
        <f t="shared" si="0"/>
        <v>2</v>
      </c>
      <c r="R12" s="53">
        <f t="shared" si="1"/>
        <v>1</v>
      </c>
      <c r="S12" s="53">
        <f t="shared" si="4"/>
        <v>2</v>
      </c>
      <c r="T12" s="53">
        <f t="shared" ref="T12:T75" si="9">IF(OR(L12="A",L12="BBB"),1,IF(OR(L12="BB",L12="B"),2,IF(OR(L12="CCC",L12="CC"),3,K$1)))</f>
        <v>2</v>
      </c>
      <c r="U12" s="53">
        <f t="shared" si="7"/>
        <v>3</v>
      </c>
      <c r="V12" s="81">
        <f t="shared" si="6"/>
        <v>1.75</v>
      </c>
      <c r="W12" s="220">
        <v>9</v>
      </c>
      <c r="X12" s="221">
        <v>5</v>
      </c>
      <c r="Y12" s="56">
        <f t="shared" si="8"/>
        <v>1.8</v>
      </c>
      <c r="Z12" s="100"/>
      <c r="AA12" s="141">
        <f t="shared" si="2"/>
        <v>1.75</v>
      </c>
      <c r="AB12" s="107" t="str">
        <f t="shared" si="3"/>
        <v>MEDIUM</v>
      </c>
      <c r="AC12" s="30"/>
      <c r="AD12" s="41" t="s">
        <v>47</v>
      </c>
    </row>
    <row r="13" spans="1:30" ht="28.5" customHeight="1">
      <c r="A13" s="86" t="s">
        <v>63</v>
      </c>
      <c r="B13" s="66">
        <v>85.22</v>
      </c>
      <c r="C13" s="35">
        <v>70.476188659667969</v>
      </c>
      <c r="D13" s="35">
        <v>66.826919555664062</v>
      </c>
      <c r="E13" s="35">
        <v>67.788459777832031</v>
      </c>
      <c r="F13" s="35">
        <v>67.307693481445312</v>
      </c>
      <c r="G13" s="35">
        <v>75.480766296386719</v>
      </c>
      <c r="H13" s="36">
        <v>71</v>
      </c>
      <c r="I13" s="50" t="s">
        <v>244</v>
      </c>
      <c r="J13" s="76" t="s">
        <v>49</v>
      </c>
      <c r="K13" s="83">
        <v>59</v>
      </c>
      <c r="L13" s="211" t="s">
        <v>50</v>
      </c>
      <c r="M13" s="89"/>
      <c r="N13" s="49"/>
      <c r="O13" s="49"/>
      <c r="P13" s="103"/>
      <c r="Q13" s="85">
        <f t="shared" si="0"/>
        <v>1</v>
      </c>
      <c r="R13" s="53">
        <f t="shared" si="1"/>
        <v>2</v>
      </c>
      <c r="S13" s="53">
        <f t="shared" si="4"/>
        <v>2</v>
      </c>
      <c r="T13" s="53">
        <f t="shared" si="9"/>
        <v>2</v>
      </c>
      <c r="U13" s="53">
        <f t="shared" si="7"/>
        <v>3</v>
      </c>
      <c r="V13" s="81">
        <f t="shared" si="6"/>
        <v>1.75</v>
      </c>
      <c r="W13" s="220">
        <v>6</v>
      </c>
      <c r="X13" s="221">
        <v>3</v>
      </c>
      <c r="Y13" s="56">
        <f t="shared" si="8"/>
        <v>2</v>
      </c>
      <c r="Z13" s="100"/>
      <c r="AA13" s="141">
        <f t="shared" si="2"/>
        <v>1.75</v>
      </c>
      <c r="AB13" s="107" t="str">
        <f t="shared" si="3"/>
        <v>MEDIUM</v>
      </c>
      <c r="AC13" s="30"/>
      <c r="AD13" s="40" t="s">
        <v>44</v>
      </c>
    </row>
    <row r="14" spans="1:30" ht="28.5" customHeight="1">
      <c r="A14" s="86" t="s">
        <v>64</v>
      </c>
      <c r="B14" s="66">
        <v>98.03</v>
      </c>
      <c r="C14" s="35">
        <v>74.76190185546875</v>
      </c>
      <c r="D14" s="35">
        <v>99.038459777832031</v>
      </c>
      <c r="E14" s="35">
        <v>92.307693481445312</v>
      </c>
      <c r="F14" s="35">
        <v>97.596153259277344</v>
      </c>
      <c r="G14" s="35">
        <v>99.038459777832031</v>
      </c>
      <c r="H14" s="36">
        <v>97</v>
      </c>
      <c r="I14" s="50" t="s">
        <v>244</v>
      </c>
      <c r="J14" s="73" t="s">
        <v>42</v>
      </c>
      <c r="K14" s="80">
        <v>88</v>
      </c>
      <c r="L14" s="212" t="s">
        <v>50</v>
      </c>
      <c r="M14" s="90"/>
      <c r="N14" s="48"/>
      <c r="O14" s="48"/>
      <c r="P14" s="61"/>
      <c r="Q14" s="85">
        <f t="shared" si="0"/>
        <v>1</v>
      </c>
      <c r="R14" s="53">
        <f t="shared" si="1"/>
        <v>1</v>
      </c>
      <c r="S14" s="53">
        <f t="shared" si="4"/>
        <v>1</v>
      </c>
      <c r="T14" s="53">
        <f t="shared" si="9"/>
        <v>2</v>
      </c>
      <c r="U14" s="53">
        <f t="shared" si="7"/>
        <v>2</v>
      </c>
      <c r="V14" s="81">
        <f t="shared" si="6"/>
        <v>1.25</v>
      </c>
      <c r="W14" s="220">
        <v>37</v>
      </c>
      <c r="X14" s="221">
        <v>29</v>
      </c>
      <c r="Y14" s="56">
        <f t="shared" si="8"/>
        <v>1.2758620689655173</v>
      </c>
      <c r="Z14" s="101"/>
      <c r="AA14" s="141">
        <f t="shared" si="2"/>
        <v>1.25</v>
      </c>
      <c r="AB14" s="107" t="str">
        <f t="shared" si="3"/>
        <v>MEDIUM</v>
      </c>
      <c r="AC14" s="31"/>
      <c r="AD14" s="40" t="s">
        <v>44</v>
      </c>
    </row>
    <row r="15" spans="1:30" ht="28.5" customHeight="1">
      <c r="A15" s="86" t="s">
        <v>65</v>
      </c>
      <c r="B15" s="66">
        <v>37.93</v>
      </c>
      <c r="C15" s="35">
        <v>42.857143402099609</v>
      </c>
      <c r="D15" s="35">
        <v>38.461540222167969</v>
      </c>
      <c r="E15" s="35">
        <v>12.980769157409668</v>
      </c>
      <c r="F15" s="35">
        <v>26.923076629638672</v>
      </c>
      <c r="G15" s="35">
        <v>29.326923370361328</v>
      </c>
      <c r="H15" s="36">
        <v>23</v>
      </c>
      <c r="I15" s="52" t="s">
        <v>245</v>
      </c>
      <c r="J15" s="76" t="s">
        <v>49</v>
      </c>
      <c r="K15" s="84">
        <v>32</v>
      </c>
      <c r="L15" s="211" t="s">
        <v>60</v>
      </c>
      <c r="M15" s="89" t="s">
        <v>66</v>
      </c>
      <c r="N15" s="49">
        <v>3</v>
      </c>
      <c r="O15" s="49" t="s">
        <v>67</v>
      </c>
      <c r="P15" s="103"/>
      <c r="Q15" s="85">
        <f t="shared" si="0"/>
        <v>3</v>
      </c>
      <c r="R15" s="53">
        <f t="shared" si="1"/>
        <v>2</v>
      </c>
      <c r="S15" s="53">
        <f t="shared" si="4"/>
        <v>2</v>
      </c>
      <c r="T15" s="53">
        <f t="shared" si="9"/>
        <v>2</v>
      </c>
      <c r="U15" s="53">
        <f t="shared" si="7"/>
        <v>3</v>
      </c>
      <c r="V15" s="81">
        <f t="shared" si="6"/>
        <v>2.25</v>
      </c>
      <c r="W15" s="220">
        <v>36</v>
      </c>
      <c r="X15" s="221">
        <v>15</v>
      </c>
      <c r="Y15" s="56">
        <f t="shared" si="8"/>
        <v>2.4</v>
      </c>
      <c r="Z15" s="100"/>
      <c r="AA15" s="141">
        <f t="shared" si="2"/>
        <v>2.25</v>
      </c>
      <c r="AB15" s="107" t="str">
        <f t="shared" si="3"/>
        <v>HIGH</v>
      </c>
      <c r="AC15" s="30"/>
      <c r="AD15" s="41" t="s">
        <v>47</v>
      </c>
    </row>
    <row r="16" spans="1:30" ht="28.5" customHeight="1">
      <c r="A16" s="86" t="s">
        <v>68</v>
      </c>
      <c r="B16" s="66">
        <v>82.27</v>
      </c>
      <c r="C16" s="35">
        <v>44.285713195800781</v>
      </c>
      <c r="D16" s="35">
        <v>89.903846740722656</v>
      </c>
      <c r="E16" s="35">
        <v>83.173080444335938</v>
      </c>
      <c r="F16" s="35">
        <v>89.423080444335938</v>
      </c>
      <c r="G16" s="35">
        <v>90.384613037109375</v>
      </c>
      <c r="H16" s="36">
        <v>86</v>
      </c>
      <c r="I16" s="50" t="s">
        <v>244</v>
      </c>
      <c r="J16" s="73" t="s">
        <v>42</v>
      </c>
      <c r="K16" s="80">
        <v>70</v>
      </c>
      <c r="L16" s="212" t="s">
        <v>43</v>
      </c>
      <c r="M16" s="90"/>
      <c r="N16" s="48"/>
      <c r="O16" s="48"/>
      <c r="P16" s="61"/>
      <c r="Q16" s="85">
        <f t="shared" si="0"/>
        <v>1</v>
      </c>
      <c r="R16" s="53">
        <f t="shared" si="1"/>
        <v>1</v>
      </c>
      <c r="S16" s="53">
        <f t="shared" si="4"/>
        <v>1</v>
      </c>
      <c r="T16" s="53">
        <f t="shared" si="9"/>
        <v>1</v>
      </c>
      <c r="U16" s="53">
        <f t="shared" si="7"/>
        <v>1</v>
      </c>
      <c r="V16" s="81">
        <f t="shared" si="6"/>
        <v>1</v>
      </c>
      <c r="W16" s="220">
        <v>18</v>
      </c>
      <c r="X16" s="221">
        <v>18</v>
      </c>
      <c r="Y16" s="56">
        <f t="shared" si="8"/>
        <v>1</v>
      </c>
      <c r="Z16" s="101"/>
      <c r="AA16" s="141">
        <f t="shared" si="2"/>
        <v>1</v>
      </c>
      <c r="AB16" s="107" t="str">
        <f t="shared" si="3"/>
        <v>LOW</v>
      </c>
      <c r="AC16" s="31"/>
      <c r="AD16" s="40" t="s">
        <v>44</v>
      </c>
    </row>
    <row r="17" spans="1:30" ht="28.5" customHeight="1">
      <c r="A17" s="86" t="s">
        <v>69</v>
      </c>
      <c r="B17" s="66">
        <v>94.58</v>
      </c>
      <c r="C17" s="35">
        <v>70.952377319335938</v>
      </c>
      <c r="D17" s="35">
        <v>94.230766296386719</v>
      </c>
      <c r="E17" s="35">
        <v>96.153846740722656</v>
      </c>
      <c r="F17" s="35">
        <v>91.346153259277344</v>
      </c>
      <c r="G17" s="35">
        <v>93.75</v>
      </c>
      <c r="H17" s="36">
        <v>90</v>
      </c>
      <c r="I17" s="50" t="s">
        <v>244</v>
      </c>
      <c r="J17" s="73" t="s">
        <v>42</v>
      </c>
      <c r="K17" s="80">
        <v>81</v>
      </c>
      <c r="L17" s="212" t="s">
        <v>50</v>
      </c>
      <c r="M17" s="90"/>
      <c r="N17" s="48"/>
      <c r="O17" s="48"/>
      <c r="P17" s="61"/>
      <c r="Q17" s="85">
        <f t="shared" si="0"/>
        <v>1</v>
      </c>
      <c r="R17" s="53">
        <f t="shared" si="1"/>
        <v>1</v>
      </c>
      <c r="S17" s="53">
        <f t="shared" si="4"/>
        <v>1</v>
      </c>
      <c r="T17" s="53">
        <f t="shared" si="9"/>
        <v>2</v>
      </c>
      <c r="U17" s="53">
        <f t="shared" si="7"/>
        <v>2</v>
      </c>
      <c r="V17" s="81">
        <f t="shared" si="6"/>
        <v>1.25</v>
      </c>
      <c r="W17" s="220">
        <v>2</v>
      </c>
      <c r="X17" s="221">
        <v>1</v>
      </c>
      <c r="Y17" s="56">
        <f t="shared" si="8"/>
        <v>2</v>
      </c>
      <c r="Z17" s="101"/>
      <c r="AA17" s="141">
        <f t="shared" si="2"/>
        <v>1.25</v>
      </c>
      <c r="AB17" s="107" t="str">
        <f t="shared" si="3"/>
        <v>MEDIUM</v>
      </c>
      <c r="AC17" s="31"/>
      <c r="AD17" s="40" t="s">
        <v>44</v>
      </c>
    </row>
    <row r="18" spans="1:30" ht="28.5" customHeight="1">
      <c r="A18" s="86" t="s">
        <v>70</v>
      </c>
      <c r="B18" s="66">
        <v>68.97</v>
      </c>
      <c r="C18" s="35">
        <v>41.904762268066406</v>
      </c>
      <c r="D18" s="35">
        <v>62.5</v>
      </c>
      <c r="E18" s="35">
        <v>59.134616851806641</v>
      </c>
      <c r="F18" s="35">
        <v>59.134616851806641</v>
      </c>
      <c r="G18" s="35">
        <v>56.730770111083984</v>
      </c>
      <c r="H18" s="36">
        <v>63</v>
      </c>
      <c r="I18" s="51" t="s">
        <v>7</v>
      </c>
      <c r="J18" s="76" t="s">
        <v>49</v>
      </c>
      <c r="K18" s="83">
        <v>48</v>
      </c>
      <c r="L18" s="211" t="s">
        <v>50</v>
      </c>
      <c r="M18" s="89"/>
      <c r="N18" s="49"/>
      <c r="O18" s="49"/>
      <c r="P18" s="103"/>
      <c r="Q18" s="85">
        <f t="shared" si="0"/>
        <v>2</v>
      </c>
      <c r="R18" s="53">
        <f t="shared" si="1"/>
        <v>2</v>
      </c>
      <c r="S18" s="53">
        <f t="shared" si="4"/>
        <v>2</v>
      </c>
      <c r="T18" s="53">
        <f t="shared" si="9"/>
        <v>2</v>
      </c>
      <c r="U18" s="53">
        <f t="shared" si="7"/>
        <v>3</v>
      </c>
      <c r="V18" s="81">
        <f t="shared" si="6"/>
        <v>2</v>
      </c>
      <c r="W18" s="220">
        <v>2</v>
      </c>
      <c r="X18" s="221">
        <v>1</v>
      </c>
      <c r="Y18" s="56">
        <f t="shared" si="8"/>
        <v>2</v>
      </c>
      <c r="Z18" s="100"/>
      <c r="AA18" s="141">
        <f t="shared" si="2"/>
        <v>2</v>
      </c>
      <c r="AB18" s="107" t="str">
        <f t="shared" si="3"/>
        <v>HIGH</v>
      </c>
      <c r="AC18" s="30"/>
      <c r="AD18" s="40" t="s">
        <v>44</v>
      </c>
    </row>
    <row r="19" spans="1:30" ht="28.5" customHeight="1">
      <c r="A19" s="86" t="s">
        <v>71</v>
      </c>
      <c r="B19" s="66">
        <v>33.5</v>
      </c>
      <c r="C19" s="35">
        <v>33.809524536132812</v>
      </c>
      <c r="D19" s="35">
        <v>23.076923370361328</v>
      </c>
      <c r="E19" s="35">
        <v>30.769229888916016</v>
      </c>
      <c r="F19" s="35">
        <v>12.019230842590332</v>
      </c>
      <c r="G19" s="35">
        <v>27.884614944458008</v>
      </c>
      <c r="H19" s="36">
        <v>31</v>
      </c>
      <c r="I19" s="52" t="s">
        <v>245</v>
      </c>
      <c r="J19" s="76" t="s">
        <v>49</v>
      </c>
      <c r="K19" s="84">
        <v>29</v>
      </c>
      <c r="L19" s="211" t="s">
        <v>72</v>
      </c>
      <c r="M19" s="89"/>
      <c r="N19" s="49"/>
      <c r="O19" s="49"/>
      <c r="P19" s="103"/>
      <c r="Q19" s="85">
        <f t="shared" si="0"/>
        <v>3</v>
      </c>
      <c r="R19" s="53">
        <f t="shared" si="1"/>
        <v>2</v>
      </c>
      <c r="S19" s="53">
        <f t="shared" si="4"/>
        <v>3</v>
      </c>
      <c r="T19" s="53">
        <f t="shared" si="9"/>
        <v>3</v>
      </c>
      <c r="U19" s="53">
        <f t="shared" si="7"/>
        <v>3</v>
      </c>
      <c r="V19" s="81">
        <f t="shared" si="6"/>
        <v>2.75</v>
      </c>
      <c r="W19" s="220">
        <v>28</v>
      </c>
      <c r="X19" s="221">
        <v>11</v>
      </c>
      <c r="Y19" s="56">
        <f t="shared" si="8"/>
        <v>2.5454545454545454</v>
      </c>
      <c r="Z19" s="100"/>
      <c r="AA19" s="141">
        <f t="shared" si="2"/>
        <v>2.75</v>
      </c>
      <c r="AB19" s="107" t="str">
        <f t="shared" si="3"/>
        <v>HIGH</v>
      </c>
      <c r="AC19" s="30"/>
      <c r="AD19" s="41" t="s">
        <v>47</v>
      </c>
    </row>
    <row r="20" spans="1:30" ht="28.5" customHeight="1">
      <c r="A20" s="86" t="s">
        <v>73</v>
      </c>
      <c r="B20" s="66">
        <v>95.07</v>
      </c>
      <c r="C20" s="35">
        <v>96.190475463867188</v>
      </c>
      <c r="D20" s="35">
        <v>90.384613037109375</v>
      </c>
      <c r="E20" s="35">
        <v>86.538459777832031</v>
      </c>
      <c r="F20" s="35">
        <v>89.903846740722656</v>
      </c>
      <c r="G20" s="35">
        <v>95.673080444335938</v>
      </c>
      <c r="H20" s="36">
        <v>90</v>
      </c>
      <c r="I20" s="50" t="s">
        <v>244</v>
      </c>
      <c r="J20" s="76" t="s">
        <v>49</v>
      </c>
      <c r="K20" s="80">
        <v>77</v>
      </c>
      <c r="L20" s="211" t="s">
        <v>60</v>
      </c>
      <c r="M20" s="89"/>
      <c r="N20" s="49"/>
      <c r="O20" s="49"/>
      <c r="P20" s="103"/>
      <c r="Q20" s="85">
        <f t="shared" si="0"/>
        <v>1</v>
      </c>
      <c r="R20" s="53">
        <f t="shared" si="1"/>
        <v>2</v>
      </c>
      <c r="S20" s="53">
        <f t="shared" si="4"/>
        <v>1</v>
      </c>
      <c r="T20" s="53">
        <f t="shared" si="9"/>
        <v>2</v>
      </c>
      <c r="U20" s="53">
        <f t="shared" si="7"/>
        <v>2</v>
      </c>
      <c r="V20" s="81">
        <f t="shared" si="6"/>
        <v>1.5</v>
      </c>
      <c r="W20" s="220">
        <v>3</v>
      </c>
      <c r="X20" s="221">
        <v>2</v>
      </c>
      <c r="Y20" s="56">
        <f t="shared" si="8"/>
        <v>1.5</v>
      </c>
      <c r="Z20" s="100"/>
      <c r="AA20" s="141">
        <f t="shared" si="2"/>
        <v>1.5</v>
      </c>
      <c r="AB20" s="107" t="str">
        <f t="shared" si="3"/>
        <v>MEDIUM</v>
      </c>
      <c r="AC20" s="30"/>
      <c r="AD20" s="40" t="s">
        <v>44</v>
      </c>
    </row>
    <row r="21" spans="1:30" ht="28.5" customHeight="1">
      <c r="A21" s="86" t="s">
        <v>74</v>
      </c>
      <c r="B21" s="66">
        <v>58.62</v>
      </c>
      <c r="C21" s="35">
        <v>14.285714149475098</v>
      </c>
      <c r="D21" s="35">
        <v>57.211540222167969</v>
      </c>
      <c r="E21" s="35">
        <v>41.346153259277344</v>
      </c>
      <c r="F21" s="35">
        <v>52.403846740722656</v>
      </c>
      <c r="G21" s="35">
        <v>47.115383148193359</v>
      </c>
      <c r="H21" s="36">
        <v>43</v>
      </c>
      <c r="I21" s="51" t="s">
        <v>7</v>
      </c>
      <c r="J21" s="76" t="s">
        <v>49</v>
      </c>
      <c r="K21" s="83">
        <v>40</v>
      </c>
      <c r="L21" s="211" t="s">
        <v>60</v>
      </c>
      <c r="M21" s="89"/>
      <c r="N21" s="49"/>
      <c r="O21" s="49"/>
      <c r="P21" s="103"/>
      <c r="Q21" s="85">
        <f t="shared" si="0"/>
        <v>2</v>
      </c>
      <c r="R21" s="53">
        <f t="shared" si="1"/>
        <v>2</v>
      </c>
      <c r="S21" s="53">
        <f t="shared" si="4"/>
        <v>2</v>
      </c>
      <c r="T21" s="53">
        <f t="shared" si="9"/>
        <v>2</v>
      </c>
      <c r="U21" s="53">
        <f t="shared" si="7"/>
        <v>3</v>
      </c>
      <c r="V21" s="81">
        <f t="shared" si="6"/>
        <v>2</v>
      </c>
      <c r="W21" s="220">
        <v>58</v>
      </c>
      <c r="X21" s="221">
        <v>29</v>
      </c>
      <c r="Y21" s="56">
        <f t="shared" si="8"/>
        <v>2</v>
      </c>
      <c r="Z21" s="100"/>
      <c r="AA21" s="141">
        <f t="shared" si="2"/>
        <v>2</v>
      </c>
      <c r="AB21" s="107" t="str">
        <f t="shared" si="3"/>
        <v>HIGH</v>
      </c>
      <c r="AC21" s="30"/>
      <c r="AD21" s="41" t="s">
        <v>47</v>
      </c>
    </row>
    <row r="22" spans="1:30" ht="28.5" customHeight="1">
      <c r="A22" s="86" t="s">
        <v>75</v>
      </c>
      <c r="B22" s="66">
        <v>50.25</v>
      </c>
      <c r="C22" s="35">
        <v>33.333332061767578</v>
      </c>
      <c r="D22" s="35">
        <v>53.365383148193359</v>
      </c>
      <c r="E22" s="35">
        <v>50</v>
      </c>
      <c r="F22" s="35">
        <v>38.942306518554688</v>
      </c>
      <c r="G22" s="35">
        <v>42.788459777832031</v>
      </c>
      <c r="H22" s="36">
        <v>36</v>
      </c>
      <c r="I22" s="51" t="s">
        <v>7</v>
      </c>
      <c r="J22" s="76" t="s">
        <v>49</v>
      </c>
      <c r="K22" s="83">
        <v>37</v>
      </c>
      <c r="L22" s="211" t="s">
        <v>50</v>
      </c>
      <c r="M22" s="89" t="s">
        <v>76</v>
      </c>
      <c r="N22" s="49">
        <v>2</v>
      </c>
      <c r="O22" s="49"/>
      <c r="P22" s="103" t="s">
        <v>77</v>
      </c>
      <c r="Q22" s="85">
        <f t="shared" si="0"/>
        <v>2</v>
      </c>
      <c r="R22" s="53">
        <f t="shared" si="1"/>
        <v>2</v>
      </c>
      <c r="S22" s="53">
        <f t="shared" si="4"/>
        <v>2</v>
      </c>
      <c r="T22" s="53">
        <f t="shared" si="9"/>
        <v>2</v>
      </c>
      <c r="U22" s="53">
        <f t="shared" si="7"/>
        <v>3</v>
      </c>
      <c r="V22" s="81">
        <f t="shared" si="6"/>
        <v>2</v>
      </c>
      <c r="W22" s="220">
        <v>24</v>
      </c>
      <c r="X22" s="221">
        <v>12</v>
      </c>
      <c r="Y22" s="56">
        <f t="shared" si="8"/>
        <v>2</v>
      </c>
      <c r="Z22" s="100"/>
      <c r="AA22" s="141">
        <f t="shared" si="2"/>
        <v>2</v>
      </c>
      <c r="AB22" s="107" t="str">
        <f t="shared" si="3"/>
        <v>HIGH</v>
      </c>
      <c r="AC22" s="30"/>
      <c r="AD22" s="41" t="s">
        <v>47</v>
      </c>
    </row>
    <row r="23" spans="1:30" ht="28.5" customHeight="1">
      <c r="A23" s="86" t="s">
        <v>78</v>
      </c>
      <c r="B23" s="66">
        <v>93.6</v>
      </c>
      <c r="C23" s="35">
        <v>76.666664123535156</v>
      </c>
      <c r="D23" s="35">
        <v>88.461540222167969</v>
      </c>
      <c r="E23" s="35">
        <v>94.711540222167969</v>
      </c>
      <c r="F23" s="35">
        <v>90.384613037109375</v>
      </c>
      <c r="G23" s="35">
        <v>92.788459777832031</v>
      </c>
      <c r="H23" s="36">
        <v>91</v>
      </c>
      <c r="I23" s="50" t="s">
        <v>244</v>
      </c>
      <c r="J23" s="73" t="s">
        <v>42</v>
      </c>
      <c r="K23" s="85">
        <v>74</v>
      </c>
      <c r="L23" s="212" t="s">
        <v>50</v>
      </c>
      <c r="M23" s="90"/>
      <c r="N23" s="48"/>
      <c r="O23" s="48"/>
      <c r="P23" s="61"/>
      <c r="Q23" s="85">
        <f t="shared" si="0"/>
        <v>1</v>
      </c>
      <c r="R23" s="53">
        <f t="shared" si="1"/>
        <v>1</v>
      </c>
      <c r="S23" s="53">
        <f t="shared" si="4"/>
        <v>1</v>
      </c>
      <c r="T23" s="53">
        <f t="shared" si="9"/>
        <v>2</v>
      </c>
      <c r="U23" s="53">
        <f t="shared" si="7"/>
        <v>2</v>
      </c>
      <c r="V23" s="81">
        <f t="shared" si="6"/>
        <v>1.25</v>
      </c>
      <c r="W23" s="220">
        <v>5</v>
      </c>
      <c r="X23" s="221">
        <v>4</v>
      </c>
      <c r="Y23" s="56">
        <f t="shared" si="8"/>
        <v>1.25</v>
      </c>
      <c r="Z23" s="101"/>
      <c r="AA23" s="141">
        <f t="shared" si="2"/>
        <v>1.25</v>
      </c>
      <c r="AB23" s="107" t="str">
        <f t="shared" si="3"/>
        <v>MEDIUM</v>
      </c>
      <c r="AC23" s="31"/>
      <c r="AD23" s="40" t="s">
        <v>44</v>
      </c>
    </row>
    <row r="24" spans="1:30" ht="28.5" customHeight="1">
      <c r="A24" s="86" t="s">
        <v>79</v>
      </c>
      <c r="B24" s="66">
        <v>79.31</v>
      </c>
      <c r="C24" s="35">
        <v>58.095237731933594</v>
      </c>
      <c r="D24" s="35">
        <v>71.634613037109375</v>
      </c>
      <c r="E24" s="35">
        <v>75</v>
      </c>
      <c r="F24" s="35">
        <v>61.057693481445312</v>
      </c>
      <c r="G24" s="35">
        <v>59.615383148193359</v>
      </c>
      <c r="H24" s="36">
        <v>68</v>
      </c>
      <c r="I24" s="50" t="s">
        <v>244</v>
      </c>
      <c r="J24" s="73" t="s">
        <v>42</v>
      </c>
      <c r="K24" s="83">
        <v>50</v>
      </c>
      <c r="L24" s="211" t="s">
        <v>43</v>
      </c>
      <c r="M24" s="89"/>
      <c r="N24" s="49"/>
      <c r="O24" s="49"/>
      <c r="P24" s="103"/>
      <c r="Q24" s="85">
        <f t="shared" si="0"/>
        <v>1</v>
      </c>
      <c r="R24" s="53">
        <f t="shared" si="1"/>
        <v>1</v>
      </c>
      <c r="S24" s="53">
        <f t="shared" si="4"/>
        <v>2</v>
      </c>
      <c r="T24" s="53">
        <f t="shared" si="9"/>
        <v>1</v>
      </c>
      <c r="U24" s="53">
        <f t="shared" si="7"/>
        <v>2</v>
      </c>
      <c r="V24" s="81">
        <f t="shared" si="6"/>
        <v>1.25</v>
      </c>
      <c r="W24" s="220">
        <v>12</v>
      </c>
      <c r="X24" s="221">
        <v>9</v>
      </c>
      <c r="Y24" s="56">
        <f t="shared" si="8"/>
        <v>1.3333333333333333</v>
      </c>
      <c r="Z24" s="100"/>
      <c r="AA24" s="141">
        <f t="shared" si="2"/>
        <v>1.25</v>
      </c>
      <c r="AB24" s="107" t="str">
        <f t="shared" si="3"/>
        <v>MEDIUM</v>
      </c>
      <c r="AC24" s="30"/>
      <c r="AD24" s="40" t="s">
        <v>44</v>
      </c>
    </row>
    <row r="25" spans="1:30" ht="28.5" customHeight="1">
      <c r="A25" s="86" t="s">
        <v>80</v>
      </c>
      <c r="B25" s="66">
        <v>77.83</v>
      </c>
      <c r="C25" s="35">
        <v>86.190475463867188</v>
      </c>
      <c r="D25" s="35">
        <v>95.673080444335938</v>
      </c>
      <c r="E25" s="35">
        <v>90.384613037109375</v>
      </c>
      <c r="F25" s="35">
        <v>88.461540222167969</v>
      </c>
      <c r="G25" s="35">
        <v>90.865386962890625</v>
      </c>
      <c r="H25" s="36">
        <v>85</v>
      </c>
      <c r="I25" s="50" t="s">
        <v>244</v>
      </c>
      <c r="J25" s="76" t="s">
        <v>49</v>
      </c>
      <c r="K25" s="85">
        <v>73</v>
      </c>
      <c r="L25" s="212" t="s">
        <v>72</v>
      </c>
      <c r="M25" s="90"/>
      <c r="N25" s="48"/>
      <c r="O25" s="48"/>
      <c r="P25" s="61"/>
      <c r="Q25" s="85">
        <f t="shared" si="0"/>
        <v>1</v>
      </c>
      <c r="R25" s="53">
        <f t="shared" si="1"/>
        <v>2</v>
      </c>
      <c r="S25" s="53">
        <f t="shared" si="4"/>
        <v>1</v>
      </c>
      <c r="T25" s="53">
        <f t="shared" si="9"/>
        <v>3</v>
      </c>
      <c r="U25" s="53">
        <f t="shared" si="7"/>
        <v>3</v>
      </c>
      <c r="V25" s="81">
        <f t="shared" si="6"/>
        <v>1.75</v>
      </c>
      <c r="W25" s="220">
        <v>14</v>
      </c>
      <c r="X25" s="221">
        <v>9</v>
      </c>
      <c r="Y25" s="56">
        <f>W25/X25</f>
        <v>1.5555555555555556</v>
      </c>
      <c r="Z25" s="101"/>
      <c r="AA25" s="141">
        <f t="shared" si="2"/>
        <v>1.75</v>
      </c>
      <c r="AB25" s="107" t="str">
        <f t="shared" si="3"/>
        <v>MEDIUM</v>
      </c>
      <c r="AC25" s="31"/>
      <c r="AD25" s="40" t="s">
        <v>44</v>
      </c>
    </row>
    <row r="26" spans="1:30" ht="28.5" customHeight="1">
      <c r="A26" s="86" t="s">
        <v>81</v>
      </c>
      <c r="B26" s="66">
        <v>37.44</v>
      </c>
      <c r="C26" s="35">
        <v>31.428571701049805</v>
      </c>
      <c r="D26" s="35">
        <v>10.576923370361328</v>
      </c>
      <c r="E26" s="35">
        <v>25.961538314819336</v>
      </c>
      <c r="F26" s="35">
        <v>25.480770111083984</v>
      </c>
      <c r="G26" s="35">
        <v>16.346153259277301</v>
      </c>
      <c r="H26" s="36">
        <v>29</v>
      </c>
      <c r="I26" s="52" t="s">
        <v>245</v>
      </c>
      <c r="J26" s="77" t="s">
        <v>311</v>
      </c>
      <c r="K26" s="84">
        <v>24</v>
      </c>
      <c r="L26" s="211" t="s">
        <v>72</v>
      </c>
      <c r="M26" s="89"/>
      <c r="N26" s="49"/>
      <c r="O26" s="49"/>
      <c r="P26" s="103"/>
      <c r="Q26" s="85">
        <f t="shared" si="0"/>
        <v>3</v>
      </c>
      <c r="R26" s="53">
        <f t="shared" si="1"/>
        <v>3</v>
      </c>
      <c r="S26" s="53">
        <f t="shared" si="4"/>
        <v>3</v>
      </c>
      <c r="T26" s="53">
        <f t="shared" si="9"/>
        <v>3</v>
      </c>
      <c r="U26" s="53">
        <f t="shared" si="7"/>
        <v>3</v>
      </c>
      <c r="V26" s="81">
        <f t="shared" si="6"/>
        <v>3</v>
      </c>
      <c r="W26" s="220">
        <v>3</v>
      </c>
      <c r="X26" s="221">
        <v>1</v>
      </c>
      <c r="Y26" s="56">
        <f>W26/X26</f>
        <v>3</v>
      </c>
      <c r="Z26" s="100"/>
      <c r="AA26" s="141">
        <f t="shared" si="2"/>
        <v>3</v>
      </c>
      <c r="AB26" s="107" t="str">
        <f t="shared" si="3"/>
        <v>HIGH</v>
      </c>
      <c r="AC26" s="30"/>
      <c r="AD26" s="41" t="s">
        <v>47</v>
      </c>
    </row>
    <row r="27" spans="1:30" ht="28.5" customHeight="1">
      <c r="A27" s="86" t="s">
        <v>82</v>
      </c>
      <c r="B27" s="66">
        <v>33</v>
      </c>
      <c r="C27" s="35">
        <v>50</v>
      </c>
      <c r="D27" s="35">
        <v>75.961540222167969</v>
      </c>
      <c r="E27" s="35">
        <v>75.480766296386719</v>
      </c>
      <c r="F27" s="35">
        <v>71.153846740722656</v>
      </c>
      <c r="G27" s="35">
        <v>61.538459777832031</v>
      </c>
      <c r="H27" s="36">
        <v>61</v>
      </c>
      <c r="I27" s="51" t="s">
        <v>7</v>
      </c>
      <c r="J27" s="76" t="s">
        <v>49</v>
      </c>
      <c r="K27" s="83">
        <v>47</v>
      </c>
      <c r="L27" s="211" t="s">
        <v>72</v>
      </c>
      <c r="M27" s="89"/>
      <c r="N27" s="49"/>
      <c r="O27" s="49"/>
      <c r="P27" s="103"/>
      <c r="Q27" s="85">
        <f t="shared" si="0"/>
        <v>2</v>
      </c>
      <c r="R27" s="53">
        <f t="shared" si="1"/>
        <v>2</v>
      </c>
      <c r="S27" s="53">
        <f t="shared" si="4"/>
        <v>2</v>
      </c>
      <c r="T27" s="53">
        <f t="shared" si="9"/>
        <v>3</v>
      </c>
      <c r="U27" s="53">
        <f t="shared" si="7"/>
        <v>3</v>
      </c>
      <c r="V27" s="81">
        <f t="shared" si="6"/>
        <v>2.25</v>
      </c>
      <c r="W27" s="220">
        <v>2</v>
      </c>
      <c r="X27" s="221">
        <v>1</v>
      </c>
      <c r="Y27" s="56">
        <f t="shared" ref="Y27:Y41" si="10">W27/X27</f>
        <v>2</v>
      </c>
      <c r="Z27" s="100"/>
      <c r="AA27" s="141">
        <f t="shared" si="2"/>
        <v>2.25</v>
      </c>
      <c r="AB27" s="107" t="str">
        <f t="shared" si="3"/>
        <v>HIGH</v>
      </c>
      <c r="AC27" s="30"/>
      <c r="AD27" s="41" t="s">
        <v>47</v>
      </c>
    </row>
    <row r="28" spans="1:30" ht="28.5" customHeight="1">
      <c r="A28" s="86" t="s">
        <v>83</v>
      </c>
      <c r="B28" s="66">
        <v>43.84</v>
      </c>
      <c r="C28" s="35">
        <v>20</v>
      </c>
      <c r="D28" s="35">
        <v>59.615383148193359</v>
      </c>
      <c r="E28" s="35">
        <v>64.423080444335938</v>
      </c>
      <c r="F28" s="35">
        <v>33.173076629638672</v>
      </c>
      <c r="G28" s="35">
        <v>23.076923370361328</v>
      </c>
      <c r="H28" s="36">
        <v>46</v>
      </c>
      <c r="I28" s="51" t="s">
        <v>7</v>
      </c>
      <c r="J28" s="76" t="s">
        <v>49</v>
      </c>
      <c r="K28" s="84">
        <v>29</v>
      </c>
      <c r="L28" s="211" t="s">
        <v>50</v>
      </c>
      <c r="M28" s="89"/>
      <c r="N28" s="49"/>
      <c r="O28" s="49"/>
      <c r="P28" s="103"/>
      <c r="Q28" s="85">
        <f t="shared" si="0"/>
        <v>2</v>
      </c>
      <c r="R28" s="53">
        <f t="shared" si="1"/>
        <v>2</v>
      </c>
      <c r="S28" s="53">
        <f t="shared" si="4"/>
        <v>3</v>
      </c>
      <c r="T28" s="53">
        <f t="shared" si="9"/>
        <v>2</v>
      </c>
      <c r="U28" s="53">
        <f t="shared" si="7"/>
        <v>3</v>
      </c>
      <c r="V28" s="81">
        <f t="shared" si="6"/>
        <v>2.25</v>
      </c>
      <c r="W28" s="220">
        <v>7</v>
      </c>
      <c r="X28" s="221">
        <v>3</v>
      </c>
      <c r="Y28" s="56">
        <f t="shared" si="10"/>
        <v>2.3333333333333335</v>
      </c>
      <c r="Z28" s="100"/>
      <c r="AA28" s="141">
        <f t="shared" si="2"/>
        <v>2.25</v>
      </c>
      <c r="AB28" s="107" t="str">
        <f t="shared" si="3"/>
        <v>HIGH</v>
      </c>
      <c r="AC28" s="30"/>
      <c r="AD28" s="41" t="s">
        <v>47</v>
      </c>
    </row>
    <row r="29" spans="1:30" ht="28.5" customHeight="1">
      <c r="A29" s="86" t="s">
        <v>84</v>
      </c>
      <c r="B29" s="66">
        <v>30.05</v>
      </c>
      <c r="C29" s="35">
        <v>39.523811340332031</v>
      </c>
      <c r="D29" s="35">
        <v>24.038461685180664</v>
      </c>
      <c r="E29" s="35">
        <v>32.211540222167969</v>
      </c>
      <c r="F29" s="35">
        <v>30.288461685180664</v>
      </c>
      <c r="G29" s="35">
        <v>17.30769157409668</v>
      </c>
      <c r="H29" s="36">
        <v>28</v>
      </c>
      <c r="I29" s="52" t="s">
        <v>245</v>
      </c>
      <c r="J29" s="77" t="s">
        <v>311</v>
      </c>
      <c r="K29" s="84">
        <v>26</v>
      </c>
      <c r="L29" s="211" t="s">
        <v>60</v>
      </c>
      <c r="M29" s="89"/>
      <c r="N29" s="49"/>
      <c r="O29" s="49"/>
      <c r="P29" s="103"/>
      <c r="Q29" s="85">
        <f t="shared" si="0"/>
        <v>3</v>
      </c>
      <c r="R29" s="53">
        <f t="shared" si="1"/>
        <v>3</v>
      </c>
      <c r="S29" s="53">
        <f t="shared" si="4"/>
        <v>3</v>
      </c>
      <c r="T29" s="53">
        <f t="shared" si="9"/>
        <v>2</v>
      </c>
      <c r="U29" s="53">
        <f t="shared" si="7"/>
        <v>3</v>
      </c>
      <c r="V29" s="81">
        <f t="shared" si="6"/>
        <v>2.75</v>
      </c>
      <c r="W29" s="220">
        <v>5</v>
      </c>
      <c r="X29" s="221">
        <v>2</v>
      </c>
      <c r="Y29" s="56">
        <f t="shared" si="10"/>
        <v>2.5</v>
      </c>
      <c r="Z29" s="100"/>
      <c r="AA29" s="141">
        <f t="shared" si="2"/>
        <v>2.75</v>
      </c>
      <c r="AB29" s="107" t="str">
        <f t="shared" si="3"/>
        <v>HIGH</v>
      </c>
      <c r="AC29" s="30"/>
      <c r="AD29" s="41" t="s">
        <v>47</v>
      </c>
    </row>
    <row r="30" spans="1:30" ht="28.5" customHeight="1">
      <c r="A30" s="86" t="s">
        <v>85</v>
      </c>
      <c r="B30" s="66">
        <v>100</v>
      </c>
      <c r="C30" s="35">
        <v>91.428573608398438</v>
      </c>
      <c r="D30" s="35">
        <v>98.557693481445312</v>
      </c>
      <c r="E30" s="35">
        <v>92.788459777832031</v>
      </c>
      <c r="F30" s="35">
        <v>99.519233703613281</v>
      </c>
      <c r="G30" s="35">
        <v>98.076919555664062</v>
      </c>
      <c r="H30" s="36">
        <v>97</v>
      </c>
      <c r="I30" s="50" t="s">
        <v>244</v>
      </c>
      <c r="J30" s="73" t="s">
        <v>42</v>
      </c>
      <c r="K30" s="85">
        <v>85</v>
      </c>
      <c r="L30" s="211" t="s">
        <v>43</v>
      </c>
      <c r="M30" s="89"/>
      <c r="N30" s="49"/>
      <c r="O30" s="49"/>
      <c r="P30" s="103"/>
      <c r="Q30" s="85">
        <f t="shared" si="0"/>
        <v>1</v>
      </c>
      <c r="R30" s="53">
        <f t="shared" si="1"/>
        <v>1</v>
      </c>
      <c r="S30" s="53">
        <f t="shared" si="4"/>
        <v>1</v>
      </c>
      <c r="T30" s="53">
        <f t="shared" si="9"/>
        <v>1</v>
      </c>
      <c r="U30" s="53">
        <f t="shared" si="7"/>
        <v>1</v>
      </c>
      <c r="V30" s="81">
        <f t="shared" si="6"/>
        <v>1</v>
      </c>
      <c r="W30" s="220">
        <v>122</v>
      </c>
      <c r="X30" s="221">
        <v>122</v>
      </c>
      <c r="Y30" s="56">
        <f t="shared" si="10"/>
        <v>1</v>
      </c>
      <c r="Z30" s="100"/>
      <c r="AA30" s="141">
        <f t="shared" si="2"/>
        <v>1</v>
      </c>
      <c r="AB30" s="107" t="str">
        <f t="shared" si="3"/>
        <v>LOW</v>
      </c>
      <c r="AC30" s="30"/>
      <c r="AD30" s="40" t="s">
        <v>44</v>
      </c>
    </row>
    <row r="31" spans="1:30" ht="28.5" customHeight="1">
      <c r="A31" s="86" t="s">
        <v>86</v>
      </c>
      <c r="B31" s="66">
        <v>97.04</v>
      </c>
      <c r="C31" s="35">
        <v>99.047622680664062</v>
      </c>
      <c r="D31" s="35">
        <v>97.115386962890625</v>
      </c>
      <c r="E31" s="35">
        <v>99.038459777832031</v>
      </c>
      <c r="F31" s="35">
        <v>98.076919555664062</v>
      </c>
      <c r="G31" s="35">
        <v>100</v>
      </c>
      <c r="H31" s="36">
        <v>97</v>
      </c>
      <c r="I31" s="50" t="s">
        <v>244</v>
      </c>
      <c r="J31" s="73" t="s">
        <v>42</v>
      </c>
      <c r="K31" s="85">
        <v>89</v>
      </c>
      <c r="L31" s="212" t="s">
        <v>50</v>
      </c>
      <c r="M31" s="90" t="s">
        <v>87</v>
      </c>
      <c r="N31" s="48">
        <v>1</v>
      </c>
      <c r="O31" s="48"/>
      <c r="P31" s="61" t="s">
        <v>77</v>
      </c>
      <c r="Q31" s="85">
        <f t="shared" si="0"/>
        <v>1</v>
      </c>
      <c r="R31" s="53">
        <f t="shared" si="1"/>
        <v>1</v>
      </c>
      <c r="S31" s="53">
        <f t="shared" si="4"/>
        <v>1</v>
      </c>
      <c r="T31" s="53">
        <f t="shared" si="9"/>
        <v>2</v>
      </c>
      <c r="U31" s="53">
        <f t="shared" si="7"/>
        <v>2</v>
      </c>
      <c r="V31" s="81">
        <f t="shared" si="6"/>
        <v>1.25</v>
      </c>
      <c r="W31" s="220">
        <v>2</v>
      </c>
      <c r="X31" s="221">
        <v>1</v>
      </c>
      <c r="Y31" s="56">
        <f t="shared" si="10"/>
        <v>2</v>
      </c>
      <c r="Z31" s="101"/>
      <c r="AA31" s="141">
        <f t="shared" si="2"/>
        <v>1.25</v>
      </c>
      <c r="AB31" s="107" t="str">
        <f t="shared" si="3"/>
        <v>MEDIUM</v>
      </c>
      <c r="AC31" s="31"/>
      <c r="AD31" s="40" t="s">
        <v>44</v>
      </c>
    </row>
    <row r="32" spans="1:30" ht="28.5" customHeight="1">
      <c r="A32" s="86" t="s">
        <v>88</v>
      </c>
      <c r="B32" s="67">
        <v>65.02</v>
      </c>
      <c r="C32" s="39">
        <v>60.48</v>
      </c>
      <c r="D32" s="39">
        <v>61.06</v>
      </c>
      <c r="E32" s="39">
        <v>66.349999999999994</v>
      </c>
      <c r="F32" s="39">
        <v>56.25</v>
      </c>
      <c r="G32" s="39">
        <v>36.06</v>
      </c>
      <c r="H32" s="36">
        <v>55</v>
      </c>
      <c r="I32" s="51" t="s">
        <v>7</v>
      </c>
      <c r="J32" s="76" t="s">
        <v>49</v>
      </c>
      <c r="K32" s="83">
        <v>37</v>
      </c>
      <c r="L32" s="211" t="s">
        <v>60</v>
      </c>
      <c r="M32" s="89"/>
      <c r="N32" s="49"/>
      <c r="O32" s="49"/>
      <c r="P32" s="103"/>
      <c r="Q32" s="85">
        <f t="shared" si="0"/>
        <v>2</v>
      </c>
      <c r="R32" s="53">
        <f t="shared" si="1"/>
        <v>2</v>
      </c>
      <c r="S32" s="53">
        <f t="shared" si="4"/>
        <v>2</v>
      </c>
      <c r="T32" s="53">
        <f t="shared" si="9"/>
        <v>2</v>
      </c>
      <c r="U32" s="53">
        <f t="shared" si="7"/>
        <v>3</v>
      </c>
      <c r="V32" s="81">
        <f t="shared" si="6"/>
        <v>2</v>
      </c>
      <c r="W32" s="220">
        <v>2</v>
      </c>
      <c r="X32" s="221">
        <v>1</v>
      </c>
      <c r="Y32" s="56">
        <f t="shared" si="10"/>
        <v>2</v>
      </c>
      <c r="Z32" s="100"/>
      <c r="AA32" s="141">
        <f t="shared" si="2"/>
        <v>2</v>
      </c>
      <c r="AB32" s="107" t="str">
        <f t="shared" si="3"/>
        <v>HIGH</v>
      </c>
      <c r="AC32" s="30"/>
      <c r="AD32" s="41" t="s">
        <v>47</v>
      </c>
    </row>
    <row r="33" spans="1:30" ht="28.5" customHeight="1">
      <c r="A33" s="86" t="s">
        <v>89</v>
      </c>
      <c r="B33" s="66">
        <v>55.67</v>
      </c>
      <c r="C33" s="35">
        <v>40.952381134033203</v>
      </c>
      <c r="D33" s="35">
        <v>48.557693481445312</v>
      </c>
      <c r="E33" s="35">
        <v>69.711540222167969</v>
      </c>
      <c r="F33" s="35">
        <v>33.653846740722656</v>
      </c>
      <c r="G33" s="35">
        <v>43.269229888916016</v>
      </c>
      <c r="H33" s="36">
        <v>45</v>
      </c>
      <c r="I33" s="51" t="s">
        <v>7</v>
      </c>
      <c r="J33" s="76" t="s">
        <v>49</v>
      </c>
      <c r="K33" s="83">
        <v>37</v>
      </c>
      <c r="L33" s="212" t="s">
        <v>50</v>
      </c>
      <c r="M33" s="90"/>
      <c r="N33" s="48"/>
      <c r="O33" s="48"/>
      <c r="P33" s="61"/>
      <c r="Q33" s="85">
        <f t="shared" si="0"/>
        <v>2</v>
      </c>
      <c r="R33" s="53">
        <f t="shared" si="1"/>
        <v>2</v>
      </c>
      <c r="S33" s="53">
        <f t="shared" si="4"/>
        <v>2</v>
      </c>
      <c r="T33" s="53">
        <f t="shared" si="9"/>
        <v>2</v>
      </c>
      <c r="U33" s="53">
        <f t="shared" si="7"/>
        <v>3</v>
      </c>
      <c r="V33" s="81">
        <f t="shared" si="6"/>
        <v>2</v>
      </c>
      <c r="W33" s="220">
        <v>16</v>
      </c>
      <c r="X33" s="221">
        <v>8</v>
      </c>
      <c r="Y33" s="56">
        <f t="shared" si="10"/>
        <v>2</v>
      </c>
      <c r="Z33" s="101"/>
      <c r="AA33" s="141">
        <f t="shared" si="2"/>
        <v>2</v>
      </c>
      <c r="AB33" s="107" t="str">
        <f t="shared" si="3"/>
        <v>HIGH</v>
      </c>
      <c r="AC33" s="31"/>
      <c r="AD33" s="41" t="s">
        <v>47</v>
      </c>
    </row>
    <row r="34" spans="1:30" ht="28.5" customHeight="1">
      <c r="A34" s="86" t="s">
        <v>90</v>
      </c>
      <c r="B34" s="66">
        <v>72.41</v>
      </c>
      <c r="C34" s="35">
        <v>63.333332061767578</v>
      </c>
      <c r="D34" s="35">
        <v>73.557693481445312</v>
      </c>
      <c r="E34" s="35">
        <v>79.807693481445312</v>
      </c>
      <c r="F34" s="35">
        <v>74.519233703613281</v>
      </c>
      <c r="G34" s="35">
        <v>76.442306518554688</v>
      </c>
      <c r="H34" s="36">
        <v>77</v>
      </c>
      <c r="I34" s="50" t="s">
        <v>244</v>
      </c>
      <c r="J34" s="73" t="s">
        <v>42</v>
      </c>
      <c r="K34" s="85">
        <v>60</v>
      </c>
      <c r="L34" s="211" t="s">
        <v>50</v>
      </c>
      <c r="M34" s="89"/>
      <c r="N34" s="49"/>
      <c r="O34" s="49"/>
      <c r="P34" s="103"/>
      <c r="Q34" s="85">
        <f t="shared" si="0"/>
        <v>1</v>
      </c>
      <c r="R34" s="53">
        <f t="shared" si="1"/>
        <v>1</v>
      </c>
      <c r="S34" s="53">
        <f t="shared" si="4"/>
        <v>1</v>
      </c>
      <c r="T34" s="53">
        <f t="shared" si="9"/>
        <v>2</v>
      </c>
      <c r="U34" s="53">
        <f t="shared" si="7"/>
        <v>2</v>
      </c>
      <c r="V34" s="81">
        <f t="shared" si="6"/>
        <v>1.25</v>
      </c>
      <c r="W34" s="220">
        <v>2</v>
      </c>
      <c r="X34" s="221">
        <v>1</v>
      </c>
      <c r="Y34" s="56">
        <f t="shared" si="10"/>
        <v>2</v>
      </c>
      <c r="Z34" s="100"/>
      <c r="AA34" s="141">
        <f t="shared" si="2"/>
        <v>1.25</v>
      </c>
      <c r="AB34" s="107" t="str">
        <f t="shared" si="3"/>
        <v>MEDIUM</v>
      </c>
      <c r="AC34" s="30"/>
      <c r="AD34" s="40" t="s">
        <v>44</v>
      </c>
    </row>
    <row r="35" spans="1:30" ht="28.5" customHeight="1">
      <c r="A35" s="87" t="s">
        <v>91</v>
      </c>
      <c r="B35" s="67">
        <v>67.98</v>
      </c>
      <c r="C35" s="39">
        <v>42.38</v>
      </c>
      <c r="D35" s="39">
        <v>64.900000000000006</v>
      </c>
      <c r="E35" s="39">
        <v>62.02</v>
      </c>
      <c r="F35" s="39">
        <v>58.17</v>
      </c>
      <c r="G35" s="39">
        <v>60.1</v>
      </c>
      <c r="H35" s="36">
        <v>60</v>
      </c>
      <c r="I35" s="51" t="s">
        <v>7</v>
      </c>
      <c r="J35" s="76" t="s">
        <v>49</v>
      </c>
      <c r="K35" s="83">
        <v>43</v>
      </c>
      <c r="L35" s="211" t="s">
        <v>60</v>
      </c>
      <c r="M35" s="89" t="s">
        <v>87</v>
      </c>
      <c r="N35" s="49">
        <v>1</v>
      </c>
      <c r="O35" s="49" t="s">
        <v>92</v>
      </c>
      <c r="P35" s="103" t="s">
        <v>77</v>
      </c>
      <c r="Q35" s="85">
        <f t="shared" si="0"/>
        <v>2</v>
      </c>
      <c r="R35" s="53">
        <f t="shared" si="1"/>
        <v>2</v>
      </c>
      <c r="S35" s="53">
        <f t="shared" si="4"/>
        <v>2</v>
      </c>
      <c r="T35" s="53">
        <f t="shared" si="9"/>
        <v>2</v>
      </c>
      <c r="U35" s="53">
        <f t="shared" si="7"/>
        <v>3</v>
      </c>
      <c r="V35" s="81">
        <f t="shared" si="6"/>
        <v>2</v>
      </c>
      <c r="W35" s="220">
        <v>2</v>
      </c>
      <c r="X35" s="221">
        <v>1</v>
      </c>
      <c r="Y35" s="56">
        <f t="shared" si="10"/>
        <v>2</v>
      </c>
      <c r="Z35" s="100"/>
      <c r="AA35" s="141">
        <f t="shared" si="2"/>
        <v>2</v>
      </c>
      <c r="AB35" s="107" t="str">
        <f t="shared" si="3"/>
        <v>HIGH</v>
      </c>
      <c r="AC35" s="30"/>
      <c r="AD35" s="41" t="s">
        <v>47</v>
      </c>
    </row>
    <row r="36" spans="1:30" ht="28.5" customHeight="1">
      <c r="A36" s="86" t="s">
        <v>93</v>
      </c>
      <c r="B36" s="66">
        <v>81.28</v>
      </c>
      <c r="C36" s="35">
        <v>61.904762268066406</v>
      </c>
      <c r="D36" s="35">
        <v>83.173080444335938</v>
      </c>
      <c r="E36" s="35">
        <v>81.730766296386719</v>
      </c>
      <c r="F36" s="35">
        <v>80.769233703613281</v>
      </c>
      <c r="G36" s="35">
        <v>68.75</v>
      </c>
      <c r="H36" s="36">
        <v>77</v>
      </c>
      <c r="I36" s="50" t="s">
        <v>244</v>
      </c>
      <c r="J36" s="73" t="s">
        <v>42</v>
      </c>
      <c r="K36" s="83">
        <v>57</v>
      </c>
      <c r="L36" s="211" t="s">
        <v>43</v>
      </c>
      <c r="M36" s="89"/>
      <c r="N36" s="49"/>
      <c r="O36" s="49"/>
      <c r="P36" s="103"/>
      <c r="Q36" s="85">
        <f t="shared" si="0"/>
        <v>1</v>
      </c>
      <c r="R36" s="53">
        <f t="shared" si="1"/>
        <v>1</v>
      </c>
      <c r="S36" s="53">
        <f t="shared" si="4"/>
        <v>2</v>
      </c>
      <c r="T36" s="53">
        <f t="shared" si="9"/>
        <v>1</v>
      </c>
      <c r="U36" s="53">
        <f t="shared" si="7"/>
        <v>2</v>
      </c>
      <c r="V36" s="81">
        <f t="shared" si="6"/>
        <v>1.25</v>
      </c>
      <c r="W36" s="220">
        <v>5</v>
      </c>
      <c r="X36" s="221">
        <v>4</v>
      </c>
      <c r="Y36" s="56">
        <f t="shared" si="10"/>
        <v>1.25</v>
      </c>
      <c r="Z36" s="100"/>
      <c r="AA36" s="141">
        <f t="shared" si="2"/>
        <v>1.25</v>
      </c>
      <c r="AB36" s="107" t="str">
        <f t="shared" si="3"/>
        <v>MEDIUM</v>
      </c>
      <c r="AC36" s="30"/>
      <c r="AD36" s="40" t="s">
        <v>44</v>
      </c>
    </row>
    <row r="37" spans="1:30" ht="28.5" customHeight="1">
      <c r="A37" s="86" t="s">
        <v>94</v>
      </c>
      <c r="B37" s="66">
        <v>29.56</v>
      </c>
      <c r="C37" s="35">
        <v>5.7142858505249023</v>
      </c>
      <c r="D37" s="35">
        <v>54.807693481445312</v>
      </c>
      <c r="E37" s="35">
        <v>61.057693481445312</v>
      </c>
      <c r="F37" s="35">
        <v>48.557693481445312</v>
      </c>
      <c r="G37" s="35">
        <v>50.480770111083984</v>
      </c>
      <c r="H37" s="36">
        <v>51</v>
      </c>
      <c r="I37" s="51" t="s">
        <v>7</v>
      </c>
      <c r="J37" s="76" t="s">
        <v>49</v>
      </c>
      <c r="K37" s="83">
        <v>40</v>
      </c>
      <c r="L37" s="211" t="s">
        <v>60</v>
      </c>
      <c r="M37" s="89"/>
      <c r="N37" s="49"/>
      <c r="O37" s="49"/>
      <c r="P37" s="103"/>
      <c r="Q37" s="85">
        <f t="shared" si="0"/>
        <v>2</v>
      </c>
      <c r="R37" s="53">
        <f t="shared" si="1"/>
        <v>2</v>
      </c>
      <c r="S37" s="53">
        <f t="shared" si="4"/>
        <v>2</v>
      </c>
      <c r="T37" s="53">
        <f t="shared" si="9"/>
        <v>2</v>
      </c>
      <c r="U37" s="53">
        <f t="shared" si="7"/>
        <v>3</v>
      </c>
      <c r="V37" s="81">
        <f t="shared" si="6"/>
        <v>2</v>
      </c>
      <c r="W37" s="220">
        <v>36</v>
      </c>
      <c r="X37" s="221">
        <v>18</v>
      </c>
      <c r="Y37" s="56">
        <f t="shared" si="10"/>
        <v>2</v>
      </c>
      <c r="Z37" s="100"/>
      <c r="AA37" s="141">
        <f t="shared" si="2"/>
        <v>2</v>
      </c>
      <c r="AB37" s="107" t="str">
        <f t="shared" si="3"/>
        <v>HIGH</v>
      </c>
      <c r="AC37" s="30"/>
      <c r="AD37" s="41" t="s">
        <v>47</v>
      </c>
    </row>
    <row r="38" spans="1:30" ht="28.5" customHeight="1">
      <c r="A38" s="86" t="s">
        <v>95</v>
      </c>
      <c r="B38" s="66">
        <v>79.8</v>
      </c>
      <c r="C38" s="35">
        <v>79.047622680664062</v>
      </c>
      <c r="D38" s="35">
        <v>89.423080444335938</v>
      </c>
      <c r="E38" s="35">
        <v>87.019233703613281</v>
      </c>
      <c r="F38" s="35">
        <v>85.576919555664062</v>
      </c>
      <c r="G38" s="35">
        <v>78.846153259277344</v>
      </c>
      <c r="H38" s="36">
        <v>79</v>
      </c>
      <c r="I38" s="50" t="s">
        <v>244</v>
      </c>
      <c r="J38" s="78" t="s">
        <v>42</v>
      </c>
      <c r="K38" s="83">
        <v>63</v>
      </c>
      <c r="L38" s="211" t="s">
        <v>72</v>
      </c>
      <c r="M38" s="89" t="s">
        <v>87</v>
      </c>
      <c r="N38" s="49">
        <v>1</v>
      </c>
      <c r="O38" s="49" t="s">
        <v>96</v>
      </c>
      <c r="P38" s="103" t="s">
        <v>77</v>
      </c>
      <c r="Q38" s="85">
        <f t="shared" si="0"/>
        <v>1</v>
      </c>
      <c r="R38" s="53">
        <f t="shared" si="1"/>
        <v>1</v>
      </c>
      <c r="S38" s="53">
        <f t="shared" si="4"/>
        <v>1</v>
      </c>
      <c r="T38" s="53">
        <f t="shared" si="9"/>
        <v>3</v>
      </c>
      <c r="U38" s="53">
        <f t="shared" si="7"/>
        <v>3</v>
      </c>
      <c r="V38" s="81">
        <f t="shared" si="6"/>
        <v>1.5</v>
      </c>
      <c r="W38" s="220">
        <v>9</v>
      </c>
      <c r="X38" s="221">
        <v>7</v>
      </c>
      <c r="Y38" s="56">
        <f t="shared" si="10"/>
        <v>1.2857142857142858</v>
      </c>
      <c r="Z38" s="100"/>
      <c r="AA38" s="141">
        <f t="shared" si="2"/>
        <v>1.5</v>
      </c>
      <c r="AB38" s="107" t="str">
        <f t="shared" si="3"/>
        <v>MEDIUM</v>
      </c>
      <c r="AC38" s="30"/>
      <c r="AD38" s="40" t="s">
        <v>44</v>
      </c>
    </row>
    <row r="39" spans="1:30" ht="28.5" customHeight="1">
      <c r="A39" s="86" t="s">
        <v>97</v>
      </c>
      <c r="B39" s="66">
        <v>20.69</v>
      </c>
      <c r="C39" s="35">
        <v>15.714285850524902</v>
      </c>
      <c r="D39" s="35">
        <v>66.346153259277344</v>
      </c>
      <c r="E39" s="35">
        <v>60.096153259277344</v>
      </c>
      <c r="F39" s="35">
        <v>55.288459777832031</v>
      </c>
      <c r="G39" s="35">
        <v>40.865383148193359</v>
      </c>
      <c r="H39" s="36">
        <v>43</v>
      </c>
      <c r="I39" s="51" t="s">
        <v>7</v>
      </c>
      <c r="J39" s="77" t="s">
        <v>311</v>
      </c>
      <c r="K39" s="83">
        <v>37</v>
      </c>
      <c r="L39" s="211" t="s">
        <v>60</v>
      </c>
      <c r="M39" s="89" t="s">
        <v>66</v>
      </c>
      <c r="N39" s="49">
        <v>3</v>
      </c>
      <c r="O39" s="49" t="s">
        <v>98</v>
      </c>
      <c r="P39" s="103" t="s">
        <v>99</v>
      </c>
      <c r="Q39" s="85">
        <f t="shared" si="0"/>
        <v>2</v>
      </c>
      <c r="R39" s="53">
        <f t="shared" si="1"/>
        <v>3</v>
      </c>
      <c r="S39" s="53">
        <f t="shared" si="4"/>
        <v>2</v>
      </c>
      <c r="T39" s="53">
        <f t="shared" si="9"/>
        <v>2</v>
      </c>
      <c r="U39" s="53">
        <f t="shared" si="7"/>
        <v>3</v>
      </c>
      <c r="V39" s="81">
        <f t="shared" si="6"/>
        <v>2.25</v>
      </c>
      <c r="W39" s="220">
        <v>5</v>
      </c>
      <c r="X39" s="221">
        <v>2</v>
      </c>
      <c r="Y39" s="56">
        <f t="shared" si="10"/>
        <v>2.5</v>
      </c>
      <c r="Z39" s="100"/>
      <c r="AA39" s="141">
        <f t="shared" si="2"/>
        <v>2.25</v>
      </c>
      <c r="AB39" s="107" t="str">
        <f t="shared" si="3"/>
        <v>HIGH</v>
      </c>
      <c r="AC39" s="30"/>
      <c r="AD39" s="41" t="s">
        <v>47</v>
      </c>
    </row>
    <row r="40" spans="1:30" ht="28.5" customHeight="1">
      <c r="A40" s="86" t="s">
        <v>100</v>
      </c>
      <c r="B40" s="66">
        <v>90.64</v>
      </c>
      <c r="C40" s="35">
        <v>59.047618865966797</v>
      </c>
      <c r="D40" s="35">
        <v>92.788459777832031</v>
      </c>
      <c r="E40" s="35">
        <v>95.192306518554688</v>
      </c>
      <c r="F40" s="35">
        <v>91.826919555664062</v>
      </c>
      <c r="G40" s="35">
        <v>94.230766296386719</v>
      </c>
      <c r="H40" s="36">
        <v>88</v>
      </c>
      <c r="I40" s="50" t="s">
        <v>244</v>
      </c>
      <c r="J40" s="78" t="s">
        <v>42</v>
      </c>
      <c r="K40" s="85">
        <v>82</v>
      </c>
      <c r="L40" s="211" t="s">
        <v>43</v>
      </c>
      <c r="M40" s="89"/>
      <c r="N40" s="49"/>
      <c r="O40" s="49"/>
      <c r="P40" s="103"/>
      <c r="Q40" s="85">
        <f t="shared" si="0"/>
        <v>1</v>
      </c>
      <c r="R40" s="53">
        <f t="shared" si="1"/>
        <v>1</v>
      </c>
      <c r="S40" s="53">
        <f t="shared" si="4"/>
        <v>1</v>
      </c>
      <c r="T40" s="53">
        <f t="shared" si="9"/>
        <v>1</v>
      </c>
      <c r="U40" s="53">
        <f t="shared" si="7"/>
        <v>1</v>
      </c>
      <c r="V40" s="81">
        <f t="shared" si="6"/>
        <v>1</v>
      </c>
      <c r="W40" s="220">
        <v>4</v>
      </c>
      <c r="X40" s="221">
        <v>4</v>
      </c>
      <c r="Y40" s="56">
        <f t="shared" si="10"/>
        <v>1</v>
      </c>
      <c r="Z40" s="100" t="s">
        <v>454</v>
      </c>
      <c r="AA40" s="141">
        <f t="shared" si="2"/>
        <v>1</v>
      </c>
      <c r="AB40" s="107" t="str">
        <f t="shared" si="3"/>
        <v>LOW</v>
      </c>
      <c r="AC40" s="30"/>
      <c r="AD40" s="40" t="s">
        <v>44</v>
      </c>
    </row>
    <row r="41" spans="1:30" ht="28.5" customHeight="1">
      <c r="A41" s="86" t="s">
        <v>101</v>
      </c>
      <c r="B41" s="66">
        <v>84.24</v>
      </c>
      <c r="C41" s="35">
        <v>58.571430206298828</v>
      </c>
      <c r="D41" s="35">
        <v>91.346153259277344</v>
      </c>
      <c r="E41" s="35">
        <v>91.826919555664062</v>
      </c>
      <c r="F41" s="35">
        <v>92.307693481445312</v>
      </c>
      <c r="G41" s="35">
        <v>89.903846740722656</v>
      </c>
      <c r="H41" s="36">
        <v>84</v>
      </c>
      <c r="I41" s="50" t="s">
        <v>244</v>
      </c>
      <c r="J41" s="78" t="s">
        <v>42</v>
      </c>
      <c r="K41" s="85">
        <v>75</v>
      </c>
      <c r="L41" s="211" t="s">
        <v>43</v>
      </c>
      <c r="M41" s="89" t="s">
        <v>61</v>
      </c>
      <c r="N41" s="49">
        <v>1.5</v>
      </c>
      <c r="O41" s="49" t="s">
        <v>102</v>
      </c>
      <c r="P41" s="103"/>
      <c r="Q41" s="85">
        <f t="shared" si="0"/>
        <v>1</v>
      </c>
      <c r="R41" s="53">
        <f t="shared" si="1"/>
        <v>1</v>
      </c>
      <c r="S41" s="53">
        <f t="shared" si="4"/>
        <v>1</v>
      </c>
      <c r="T41" s="53">
        <f t="shared" si="9"/>
        <v>1</v>
      </c>
      <c r="U41" s="53">
        <f t="shared" si="7"/>
        <v>1</v>
      </c>
      <c r="V41" s="81">
        <f t="shared" si="6"/>
        <v>1</v>
      </c>
      <c r="W41" s="220">
        <v>22</v>
      </c>
      <c r="X41" s="221">
        <v>20</v>
      </c>
      <c r="Y41" s="56">
        <f t="shared" si="10"/>
        <v>1.1000000000000001</v>
      </c>
      <c r="Z41" s="100"/>
      <c r="AA41" s="141">
        <f t="shared" si="2"/>
        <v>1</v>
      </c>
      <c r="AB41" s="107" t="str">
        <f t="shared" si="3"/>
        <v>LOW</v>
      </c>
      <c r="AC41" s="30"/>
      <c r="AD41" s="40" t="s">
        <v>44</v>
      </c>
    </row>
    <row r="42" spans="1:30" ht="28.5" customHeight="1">
      <c r="A42" s="86" t="s">
        <v>103</v>
      </c>
      <c r="B42" s="66">
        <v>9.85</v>
      </c>
      <c r="C42" s="35">
        <v>51.428569793701172</v>
      </c>
      <c r="D42" s="35">
        <v>52.884616851806641</v>
      </c>
      <c r="E42" s="35">
        <v>35.096153259277344</v>
      </c>
      <c r="F42" s="35">
        <v>57.211540222167969</v>
      </c>
      <c r="G42" s="35">
        <v>41.826923370361328</v>
      </c>
      <c r="H42" s="36">
        <v>35</v>
      </c>
      <c r="I42" s="52" t="s">
        <v>245</v>
      </c>
      <c r="J42" s="76" t="s">
        <v>49</v>
      </c>
      <c r="K42" s="83">
        <v>35</v>
      </c>
      <c r="L42" s="211" t="s">
        <v>60</v>
      </c>
      <c r="M42" s="89" t="s">
        <v>104</v>
      </c>
      <c r="N42" s="49">
        <v>1.5</v>
      </c>
      <c r="O42" s="49" t="s">
        <v>105</v>
      </c>
      <c r="P42" s="103"/>
      <c r="Q42" s="85">
        <f t="shared" si="0"/>
        <v>3</v>
      </c>
      <c r="R42" s="53">
        <f t="shared" si="1"/>
        <v>2</v>
      </c>
      <c r="S42" s="53">
        <f t="shared" si="4"/>
        <v>2</v>
      </c>
      <c r="T42" s="53">
        <f t="shared" si="9"/>
        <v>2</v>
      </c>
      <c r="U42" s="53">
        <f t="shared" si="7"/>
        <v>3</v>
      </c>
      <c r="V42" s="81">
        <f t="shared" si="6"/>
        <v>2.25</v>
      </c>
      <c r="W42" s="220">
        <v>179</v>
      </c>
      <c r="X42" s="221">
        <v>85</v>
      </c>
      <c r="Y42" s="56">
        <f>W42/X42</f>
        <v>2.1058823529411765</v>
      </c>
      <c r="Z42" s="100"/>
      <c r="AA42" s="141">
        <f t="shared" si="2"/>
        <v>2.25</v>
      </c>
      <c r="AB42" s="107" t="str">
        <f t="shared" si="3"/>
        <v>HIGH</v>
      </c>
      <c r="AC42" s="30"/>
      <c r="AD42" s="41" t="s">
        <v>47</v>
      </c>
    </row>
    <row r="43" spans="1:30" ht="28.5" customHeight="1" thickBot="1">
      <c r="A43" s="62" t="s">
        <v>243</v>
      </c>
      <c r="B43" s="68">
        <v>67.98</v>
      </c>
      <c r="C43" s="69">
        <v>42.380950927734375</v>
      </c>
      <c r="D43" s="69">
        <v>64.903846740722656</v>
      </c>
      <c r="E43" s="69">
        <v>62.019229888916016</v>
      </c>
      <c r="F43" s="69">
        <v>58.173076629638672</v>
      </c>
      <c r="G43" s="69">
        <v>60.096153259277344</v>
      </c>
      <c r="H43" s="70">
        <v>60</v>
      </c>
      <c r="I43" s="71" t="s">
        <v>7</v>
      </c>
      <c r="J43" s="79"/>
      <c r="K43" s="79"/>
      <c r="L43" s="82"/>
      <c r="M43" s="91"/>
      <c r="N43" s="96"/>
      <c r="O43" s="96"/>
      <c r="P43" s="104"/>
      <c r="Q43" s="85">
        <f t="shared" si="0"/>
        <v>2</v>
      </c>
      <c r="R43" s="53">
        <f t="shared" si="1"/>
        <v>2</v>
      </c>
      <c r="S43" s="53">
        <f t="shared" si="4"/>
        <v>2</v>
      </c>
      <c r="T43" s="53">
        <f t="shared" si="9"/>
        <v>2</v>
      </c>
      <c r="U43" s="106">
        <f t="shared" si="7"/>
        <v>3</v>
      </c>
      <c r="V43" s="139">
        <f t="shared" si="6"/>
        <v>2</v>
      </c>
      <c r="W43" s="88"/>
      <c r="X43" s="37"/>
      <c r="Y43" s="56"/>
      <c r="Z43" s="102"/>
      <c r="AA43" s="141">
        <f t="shared" si="2"/>
        <v>2</v>
      </c>
      <c r="AB43" s="107" t="str">
        <f t="shared" si="3"/>
        <v>HIGH</v>
      </c>
      <c r="AC43" s="30"/>
      <c r="AD43" s="38"/>
    </row>
    <row r="44" spans="1:30" ht="28.5" customHeight="1">
      <c r="A44" s="31" t="s">
        <v>106</v>
      </c>
      <c r="B44" s="42" t="s">
        <v>107</v>
      </c>
      <c r="C44" s="28"/>
      <c r="D44" s="28"/>
      <c r="E44" s="28"/>
      <c r="F44" s="28"/>
      <c r="G44" s="28"/>
      <c r="H44" s="28"/>
      <c r="I44" s="28"/>
      <c r="J44" s="72"/>
      <c r="K44" s="72"/>
      <c r="L44" s="213" t="s">
        <v>108</v>
      </c>
      <c r="M44" s="92"/>
      <c r="N44" s="92"/>
      <c r="O44" s="92"/>
      <c r="P44" s="28"/>
      <c r="Q44" s="72"/>
      <c r="R44" s="72"/>
      <c r="S44" s="72"/>
      <c r="T44" s="53">
        <f t="shared" si="9"/>
        <v>1</v>
      </c>
      <c r="U44" s="92"/>
      <c r="V44" s="54"/>
      <c r="W44" s="92"/>
      <c r="X44" s="92"/>
      <c r="Y44" s="97">
        <v>1</v>
      </c>
      <c r="Z44" s="28"/>
      <c r="AC44" s="28"/>
      <c r="AD44" s="28"/>
    </row>
    <row r="45" spans="1:30" ht="28.5" customHeight="1">
      <c r="A45" s="32" t="s">
        <v>109</v>
      </c>
      <c r="B45" s="42" t="s">
        <v>110</v>
      </c>
      <c r="C45" s="28"/>
      <c r="D45" s="28"/>
      <c r="E45" s="28"/>
      <c r="F45" s="28"/>
      <c r="G45" s="28"/>
      <c r="H45" s="28"/>
      <c r="I45" s="28"/>
      <c r="J45" s="45"/>
      <c r="K45" s="45"/>
      <c r="L45" s="214" t="s">
        <v>43</v>
      </c>
      <c r="M45" s="55"/>
      <c r="N45" s="55"/>
      <c r="O45" s="55"/>
      <c r="P45" s="28"/>
      <c r="Q45" s="45"/>
      <c r="R45" s="45"/>
      <c r="S45" s="45"/>
      <c r="T45" s="53">
        <f t="shared" si="9"/>
        <v>1</v>
      </c>
      <c r="U45" s="55"/>
      <c r="V45" s="54"/>
      <c r="W45" s="55"/>
      <c r="X45" s="55"/>
      <c r="Y45" s="56">
        <v>2</v>
      </c>
      <c r="Z45" s="28"/>
      <c r="AC45" s="28"/>
      <c r="AD45" s="28"/>
    </row>
    <row r="46" spans="1:30" ht="28.5" customHeight="1">
      <c r="A46" s="31" t="s">
        <v>111</v>
      </c>
      <c r="B46" s="42" t="s">
        <v>112</v>
      </c>
      <c r="C46" s="28"/>
      <c r="D46" s="28"/>
      <c r="E46" s="28"/>
      <c r="F46" s="28"/>
      <c r="G46" s="28"/>
      <c r="H46" s="28"/>
      <c r="I46" s="28"/>
      <c r="J46" s="45"/>
      <c r="K46" s="45"/>
      <c r="L46" s="215" t="s">
        <v>43</v>
      </c>
      <c r="M46" s="55"/>
      <c r="N46" s="55"/>
      <c r="O46" s="55"/>
      <c r="P46" s="30"/>
      <c r="Q46" s="45"/>
      <c r="R46" s="45"/>
      <c r="S46" s="45"/>
      <c r="T46" s="53">
        <f t="shared" si="9"/>
        <v>1</v>
      </c>
      <c r="U46" s="55"/>
      <c r="V46" s="54"/>
      <c r="W46" s="55"/>
      <c r="X46" s="55"/>
      <c r="Y46" s="56">
        <v>2</v>
      </c>
      <c r="Z46" s="44"/>
      <c r="AA46" s="140"/>
      <c r="AC46" s="30"/>
      <c r="AD46" s="28"/>
    </row>
    <row r="47" spans="1:30" ht="28.5" customHeight="1">
      <c r="A47" s="31" t="s">
        <v>113</v>
      </c>
      <c r="B47" s="42" t="s">
        <v>114</v>
      </c>
      <c r="C47" s="28"/>
      <c r="D47" s="28"/>
      <c r="E47" s="28"/>
      <c r="F47" s="28"/>
      <c r="G47" s="28"/>
      <c r="H47" s="28"/>
      <c r="I47" s="28"/>
      <c r="J47" s="45"/>
      <c r="K47" s="45"/>
      <c r="L47" s="215" t="s">
        <v>43</v>
      </c>
      <c r="M47" s="55"/>
      <c r="N47" s="55"/>
      <c r="O47" s="55"/>
      <c r="P47" s="30"/>
      <c r="Q47" s="45"/>
      <c r="R47" s="45"/>
      <c r="S47" s="45"/>
      <c r="T47" s="53">
        <f t="shared" si="9"/>
        <v>1</v>
      </c>
      <c r="U47" s="55"/>
      <c r="V47" s="54"/>
      <c r="W47" s="55"/>
      <c r="X47" s="55"/>
      <c r="Y47" s="56">
        <v>2</v>
      </c>
      <c r="Z47" s="44"/>
      <c r="AA47" s="140"/>
      <c r="AC47" s="30"/>
      <c r="AD47" s="28"/>
    </row>
    <row r="48" spans="1:30" ht="28.5" customHeight="1">
      <c r="A48" s="31" t="s">
        <v>115</v>
      </c>
      <c r="B48" s="43" t="s">
        <v>116</v>
      </c>
      <c r="C48" s="28"/>
      <c r="D48" s="28"/>
      <c r="E48" s="28"/>
      <c r="F48" s="28"/>
      <c r="G48" s="28"/>
      <c r="H48" s="28"/>
      <c r="I48" s="28"/>
      <c r="J48" s="45"/>
      <c r="K48" s="45"/>
      <c r="L48" s="215" t="s">
        <v>43</v>
      </c>
      <c r="M48" s="55"/>
      <c r="N48" s="55"/>
      <c r="O48" s="55"/>
      <c r="P48" s="28"/>
      <c r="Q48" s="45"/>
      <c r="R48" s="45"/>
      <c r="S48" s="45"/>
      <c r="T48" s="53">
        <f t="shared" si="9"/>
        <v>1</v>
      </c>
      <c r="U48" s="55"/>
      <c r="V48" s="54"/>
      <c r="W48" s="55"/>
      <c r="X48" s="55"/>
      <c r="Y48" s="56">
        <v>2</v>
      </c>
      <c r="Z48" s="28"/>
      <c r="AC48" s="28"/>
      <c r="AD48" s="28"/>
    </row>
    <row r="49" spans="1:30" ht="28.5" customHeight="1">
      <c r="A49" s="31" t="s">
        <v>117</v>
      </c>
      <c r="B49" s="43" t="s">
        <v>118</v>
      </c>
      <c r="C49" s="28"/>
      <c r="D49" s="28"/>
      <c r="E49" s="28"/>
      <c r="F49" s="28"/>
      <c r="G49" s="28"/>
      <c r="H49" s="28"/>
      <c r="I49" s="28"/>
      <c r="J49" s="45"/>
      <c r="K49" s="45"/>
      <c r="L49" s="215" t="s">
        <v>43</v>
      </c>
      <c r="M49" s="55"/>
      <c r="N49" s="55"/>
      <c r="O49" s="55"/>
      <c r="P49" s="28"/>
      <c r="Q49" s="45"/>
      <c r="R49" s="45"/>
      <c r="S49" s="45"/>
      <c r="T49" s="53">
        <f t="shared" si="9"/>
        <v>1</v>
      </c>
      <c r="U49" s="55"/>
      <c r="V49" s="54"/>
      <c r="W49" s="55"/>
      <c r="X49" s="55"/>
      <c r="Y49" s="56">
        <v>2</v>
      </c>
      <c r="Z49" s="28"/>
      <c r="AC49" s="28"/>
      <c r="AD49" s="28"/>
    </row>
    <row r="50" spans="1:30" ht="28.5" customHeight="1">
      <c r="A50" s="31" t="s">
        <v>119</v>
      </c>
      <c r="B50" s="28"/>
      <c r="C50" s="28"/>
      <c r="D50" s="28"/>
      <c r="E50" s="28"/>
      <c r="F50" s="28"/>
      <c r="G50" s="28"/>
      <c r="H50" s="28"/>
      <c r="I50" s="28"/>
      <c r="J50" s="45"/>
      <c r="K50" s="45"/>
      <c r="L50" s="215" t="s">
        <v>43</v>
      </c>
      <c r="M50" s="55"/>
      <c r="N50" s="55"/>
      <c r="O50" s="55"/>
      <c r="P50" s="30"/>
      <c r="Q50" s="45"/>
      <c r="R50" s="45"/>
      <c r="S50" s="45"/>
      <c r="T50" s="53">
        <f t="shared" si="9"/>
        <v>1</v>
      </c>
      <c r="U50" s="55"/>
      <c r="V50" s="54"/>
      <c r="W50" s="55"/>
      <c r="X50" s="55"/>
      <c r="Y50" s="56">
        <v>2</v>
      </c>
      <c r="Z50" s="44"/>
      <c r="AA50" s="140"/>
      <c r="AC50" s="30"/>
    </row>
    <row r="51" spans="1:30" ht="28.5" customHeight="1">
      <c r="A51" s="46" t="s">
        <v>120</v>
      </c>
      <c r="B51" s="28"/>
      <c r="C51" s="28"/>
      <c r="D51" s="28"/>
      <c r="E51" s="28"/>
      <c r="F51" s="28"/>
      <c r="G51" s="28"/>
      <c r="H51" s="28"/>
      <c r="I51" s="28"/>
      <c r="J51" s="45"/>
      <c r="K51" s="45"/>
      <c r="L51" s="215" t="s">
        <v>43</v>
      </c>
      <c r="M51" s="55"/>
      <c r="N51" s="55"/>
      <c r="O51" s="55"/>
      <c r="P51" s="30"/>
      <c r="Q51" s="45"/>
      <c r="R51" s="45"/>
      <c r="S51" s="45"/>
      <c r="T51" s="53">
        <f t="shared" si="9"/>
        <v>1</v>
      </c>
      <c r="U51" s="55"/>
      <c r="V51" s="54"/>
      <c r="W51" s="55"/>
      <c r="X51" s="55"/>
      <c r="Y51" s="56">
        <v>2</v>
      </c>
      <c r="Z51" s="44"/>
      <c r="AA51" s="140"/>
      <c r="AC51" s="30"/>
    </row>
    <row r="52" spans="1:30" ht="28.5" customHeight="1">
      <c r="A52" s="31" t="s">
        <v>121</v>
      </c>
      <c r="B52" s="28"/>
      <c r="C52" s="28"/>
      <c r="D52" s="28"/>
      <c r="E52" s="28"/>
      <c r="F52" s="28"/>
      <c r="G52" s="28"/>
      <c r="H52" s="28"/>
      <c r="I52" s="28"/>
      <c r="J52" s="45"/>
      <c r="K52" s="45"/>
      <c r="L52" s="215" t="s">
        <v>43</v>
      </c>
      <c r="M52" s="55"/>
      <c r="N52" s="55"/>
      <c r="O52" s="55"/>
      <c r="P52" s="30"/>
      <c r="Q52" s="45"/>
      <c r="R52" s="45"/>
      <c r="S52" s="45"/>
      <c r="T52" s="53">
        <f t="shared" si="9"/>
        <v>1</v>
      </c>
      <c r="U52" s="55"/>
      <c r="V52" s="54"/>
      <c r="W52" s="55"/>
      <c r="X52" s="55"/>
      <c r="Y52" s="56">
        <v>2</v>
      </c>
      <c r="Z52" s="44"/>
      <c r="AA52" s="140"/>
      <c r="AC52" s="30"/>
    </row>
    <row r="53" spans="1:30" ht="28.5" customHeight="1">
      <c r="A53" s="31" t="s">
        <v>122</v>
      </c>
      <c r="B53" s="28"/>
      <c r="C53" s="28"/>
      <c r="D53" s="28"/>
      <c r="E53" s="28"/>
      <c r="F53" s="28"/>
      <c r="G53" s="28"/>
      <c r="H53" s="28"/>
      <c r="I53" s="28"/>
      <c r="J53" s="45"/>
      <c r="K53" s="45"/>
      <c r="L53" s="215" t="s">
        <v>43</v>
      </c>
      <c r="M53" s="55"/>
      <c r="N53" s="55"/>
      <c r="O53" s="55"/>
      <c r="P53" s="30"/>
      <c r="Q53" s="45"/>
      <c r="R53" s="45"/>
      <c r="S53" s="45"/>
      <c r="T53" s="53">
        <f t="shared" si="9"/>
        <v>1</v>
      </c>
      <c r="U53" s="55"/>
      <c r="V53" s="54"/>
      <c r="W53" s="55"/>
      <c r="X53" s="55"/>
      <c r="Y53" s="56">
        <v>2</v>
      </c>
      <c r="Z53" s="44"/>
      <c r="AA53" s="140"/>
      <c r="AC53" s="30"/>
    </row>
    <row r="54" spans="1:30" ht="28.5" customHeight="1">
      <c r="A54" s="31" t="s">
        <v>123</v>
      </c>
      <c r="B54" s="28"/>
      <c r="C54" s="28"/>
      <c r="D54" s="28"/>
      <c r="E54" s="28"/>
      <c r="F54" s="28"/>
      <c r="G54" s="28"/>
      <c r="H54" s="28"/>
      <c r="I54" s="28"/>
      <c r="J54" s="45"/>
      <c r="K54" s="45"/>
      <c r="L54" s="215" t="s">
        <v>43</v>
      </c>
      <c r="M54" s="55"/>
      <c r="N54" s="55"/>
      <c r="O54" s="55"/>
      <c r="P54" s="28"/>
      <c r="Q54" s="45"/>
      <c r="R54" s="45"/>
      <c r="S54" s="45"/>
      <c r="T54" s="53">
        <f t="shared" si="9"/>
        <v>1</v>
      </c>
      <c r="U54" s="55"/>
      <c r="V54" s="54"/>
      <c r="W54" s="55"/>
      <c r="X54" s="55"/>
      <c r="Y54" s="56">
        <v>2</v>
      </c>
      <c r="Z54" s="28"/>
      <c r="AC54" s="28"/>
    </row>
    <row r="55" spans="1:30" ht="28.5" customHeight="1">
      <c r="A55" s="31" t="s">
        <v>124</v>
      </c>
      <c r="B55" s="28"/>
      <c r="C55" s="28"/>
      <c r="D55" s="28"/>
      <c r="E55" s="28"/>
      <c r="F55" s="28"/>
      <c r="G55" s="28"/>
      <c r="H55" s="28"/>
      <c r="I55" s="28"/>
      <c r="J55" s="45"/>
      <c r="K55" s="45"/>
      <c r="L55" s="215" t="s">
        <v>43</v>
      </c>
      <c r="M55" s="55"/>
      <c r="N55" s="55"/>
      <c r="O55" s="55"/>
      <c r="P55" s="28"/>
      <c r="Q55" s="45"/>
      <c r="R55" s="45"/>
      <c r="S55" s="45"/>
      <c r="T55" s="53">
        <f t="shared" si="9"/>
        <v>1</v>
      </c>
      <c r="U55" s="55"/>
      <c r="V55" s="54"/>
      <c r="W55" s="55"/>
      <c r="X55" s="55"/>
      <c r="Y55" s="56">
        <v>2</v>
      </c>
      <c r="Z55" s="28"/>
      <c r="AC55" s="28"/>
    </row>
    <row r="56" spans="1:30" ht="28.5" customHeight="1">
      <c r="A56" s="31" t="s">
        <v>125</v>
      </c>
      <c r="B56" s="28"/>
      <c r="C56" s="28"/>
      <c r="D56" s="28"/>
      <c r="E56" s="28"/>
      <c r="F56" s="28"/>
      <c r="G56" s="28"/>
      <c r="H56" s="28"/>
      <c r="I56" s="28"/>
      <c r="J56" s="45"/>
      <c r="K56" s="45"/>
      <c r="L56" s="215" t="s">
        <v>43</v>
      </c>
      <c r="M56" s="55"/>
      <c r="N56" s="55"/>
      <c r="O56" s="55"/>
      <c r="P56" s="28"/>
      <c r="Q56" s="45"/>
      <c r="R56" s="45"/>
      <c r="S56" s="45"/>
      <c r="T56" s="53">
        <f t="shared" si="9"/>
        <v>1</v>
      </c>
      <c r="U56" s="55"/>
      <c r="V56" s="54"/>
      <c r="W56" s="55"/>
      <c r="X56" s="55"/>
      <c r="Y56" s="56">
        <v>2</v>
      </c>
      <c r="Z56" s="28"/>
      <c r="AC56" s="28"/>
    </row>
    <row r="57" spans="1:30" ht="28.5" customHeight="1">
      <c r="A57" s="31" t="s">
        <v>126</v>
      </c>
      <c r="B57" s="28"/>
      <c r="C57" s="28"/>
      <c r="D57" s="28"/>
      <c r="E57" s="28"/>
      <c r="F57" s="28"/>
      <c r="G57" s="28"/>
      <c r="H57" s="28"/>
      <c r="I57" s="28"/>
      <c r="J57" s="45"/>
      <c r="K57" s="45"/>
      <c r="L57" s="215" t="s">
        <v>43</v>
      </c>
      <c r="M57" s="55"/>
      <c r="N57" s="55"/>
      <c r="O57" s="55"/>
      <c r="P57" s="28"/>
      <c r="Q57" s="45"/>
      <c r="R57" s="45"/>
      <c r="S57" s="45"/>
      <c r="T57" s="53">
        <f t="shared" si="9"/>
        <v>1</v>
      </c>
      <c r="U57" s="55"/>
      <c r="V57" s="54"/>
      <c r="W57" s="55"/>
      <c r="X57" s="55"/>
      <c r="Y57" s="56">
        <v>2</v>
      </c>
      <c r="Z57" s="28"/>
      <c r="AC57" s="28"/>
    </row>
    <row r="58" spans="1:30" ht="28.5" customHeight="1">
      <c r="A58" s="31" t="s">
        <v>127</v>
      </c>
      <c r="B58" s="28"/>
      <c r="C58" s="28"/>
      <c r="D58" s="28"/>
      <c r="E58" s="28"/>
      <c r="F58" s="28"/>
      <c r="G58" s="28"/>
      <c r="H58" s="28"/>
      <c r="I58" s="28"/>
      <c r="J58" s="45"/>
      <c r="K58" s="45"/>
      <c r="L58" s="214" t="s">
        <v>50</v>
      </c>
      <c r="M58" s="55"/>
      <c r="N58" s="55"/>
      <c r="O58" s="55"/>
      <c r="P58" s="28"/>
      <c r="Q58" s="45"/>
      <c r="R58" s="45"/>
      <c r="S58" s="45"/>
      <c r="T58" s="53">
        <f t="shared" si="9"/>
        <v>2</v>
      </c>
      <c r="U58" s="55"/>
      <c r="V58" s="54"/>
      <c r="W58" s="55"/>
      <c r="X58" s="55"/>
      <c r="Y58" s="56">
        <v>2</v>
      </c>
      <c r="Z58" s="28"/>
      <c r="AC58" s="28"/>
    </row>
    <row r="59" spans="1:30" ht="28.5" customHeight="1">
      <c r="A59" s="31" t="s">
        <v>128</v>
      </c>
      <c r="B59" s="28"/>
      <c r="C59" s="28"/>
      <c r="D59" s="28"/>
      <c r="E59" s="28"/>
      <c r="F59" s="28"/>
      <c r="G59" s="28"/>
      <c r="H59" s="28"/>
      <c r="I59" s="28"/>
      <c r="J59" s="45"/>
      <c r="K59" s="45"/>
      <c r="L59" s="214" t="s">
        <v>50</v>
      </c>
      <c r="M59" s="55"/>
      <c r="N59" s="55"/>
      <c r="O59" s="55"/>
      <c r="P59" s="28"/>
      <c r="Q59" s="45"/>
      <c r="R59" s="45"/>
      <c r="S59" s="45"/>
      <c r="T59" s="53">
        <f t="shared" si="9"/>
        <v>2</v>
      </c>
      <c r="U59" s="55"/>
      <c r="V59" s="54"/>
      <c r="W59" s="55"/>
      <c r="X59" s="55"/>
      <c r="Y59" s="56">
        <v>2</v>
      </c>
      <c r="Z59" s="28"/>
      <c r="AC59" s="28"/>
    </row>
    <row r="60" spans="1:30" ht="28.5" customHeight="1">
      <c r="A60" s="31" t="s">
        <v>129</v>
      </c>
      <c r="B60" s="28"/>
      <c r="C60" s="28"/>
      <c r="D60" s="28"/>
      <c r="E60" s="28"/>
      <c r="F60" s="28"/>
      <c r="G60" s="28"/>
      <c r="H60" s="28"/>
      <c r="I60" s="28"/>
      <c r="J60" s="45"/>
      <c r="K60" s="45"/>
      <c r="L60" s="214" t="s">
        <v>50</v>
      </c>
      <c r="M60" s="55"/>
      <c r="N60" s="55"/>
      <c r="O60" s="55"/>
      <c r="P60" s="28"/>
      <c r="Q60" s="45"/>
      <c r="R60" s="45"/>
      <c r="S60" s="45"/>
      <c r="T60" s="53">
        <f t="shared" si="9"/>
        <v>2</v>
      </c>
      <c r="U60" s="55"/>
      <c r="V60" s="54"/>
      <c r="W60" s="55"/>
      <c r="X60" s="55"/>
      <c r="Y60" s="56">
        <v>2</v>
      </c>
      <c r="Z60" s="28"/>
      <c r="AC60" s="28"/>
    </row>
    <row r="61" spans="1:30" ht="28.5" customHeight="1">
      <c r="A61" s="31" t="s">
        <v>130</v>
      </c>
      <c r="B61" s="28"/>
      <c r="C61" s="28"/>
      <c r="D61" s="28"/>
      <c r="E61" s="28"/>
      <c r="F61" s="28"/>
      <c r="G61" s="28"/>
      <c r="H61" s="28"/>
      <c r="I61" s="28"/>
      <c r="J61" s="45"/>
      <c r="K61" s="45"/>
      <c r="L61" s="214" t="s">
        <v>50</v>
      </c>
      <c r="M61" s="55"/>
      <c r="N61" s="55"/>
      <c r="O61" s="55"/>
      <c r="P61" s="28"/>
      <c r="Q61" s="45"/>
      <c r="R61" s="45"/>
      <c r="S61" s="45"/>
      <c r="T61" s="53">
        <f t="shared" si="9"/>
        <v>2</v>
      </c>
      <c r="U61" s="55"/>
      <c r="V61" s="54"/>
      <c r="W61" s="55"/>
      <c r="X61" s="55"/>
      <c r="Y61" s="56">
        <v>2</v>
      </c>
      <c r="Z61" s="28"/>
      <c r="AC61" s="28"/>
    </row>
    <row r="62" spans="1:30" ht="28.5" customHeight="1">
      <c r="A62" s="31" t="s">
        <v>131</v>
      </c>
      <c r="B62" s="28"/>
      <c r="C62" s="28"/>
      <c r="D62" s="28"/>
      <c r="E62" s="28"/>
      <c r="F62" s="28"/>
      <c r="G62" s="28"/>
      <c r="H62" s="28"/>
      <c r="I62" s="28"/>
      <c r="J62" s="45"/>
      <c r="K62" s="45"/>
      <c r="L62" s="214" t="s">
        <v>50</v>
      </c>
      <c r="M62" s="55"/>
      <c r="N62" s="55"/>
      <c r="O62" s="55"/>
      <c r="P62" s="28"/>
      <c r="Q62" s="45"/>
      <c r="R62" s="45"/>
      <c r="S62" s="45"/>
      <c r="T62" s="53">
        <f t="shared" si="9"/>
        <v>2</v>
      </c>
      <c r="U62" s="55"/>
      <c r="V62" s="54"/>
      <c r="W62" s="55"/>
      <c r="X62" s="55"/>
      <c r="Y62" s="56">
        <v>2</v>
      </c>
      <c r="Z62" s="28"/>
      <c r="AC62" s="28"/>
    </row>
    <row r="63" spans="1:30" ht="28.5" customHeight="1">
      <c r="A63" s="31" t="s">
        <v>132</v>
      </c>
      <c r="B63" s="28"/>
      <c r="C63" s="28"/>
      <c r="D63" s="28"/>
      <c r="E63" s="28"/>
      <c r="F63" s="28"/>
      <c r="G63" s="28"/>
      <c r="H63" s="28"/>
      <c r="I63" s="28"/>
      <c r="J63" s="45"/>
      <c r="K63" s="45"/>
      <c r="L63" s="214" t="s">
        <v>50</v>
      </c>
      <c r="M63" s="55"/>
      <c r="N63" s="55"/>
      <c r="O63" s="55"/>
      <c r="P63" s="28"/>
      <c r="Q63" s="45"/>
      <c r="R63" s="45"/>
      <c r="S63" s="45"/>
      <c r="T63" s="53">
        <f t="shared" si="9"/>
        <v>2</v>
      </c>
      <c r="U63" s="55"/>
      <c r="V63" s="54"/>
      <c r="W63" s="55"/>
      <c r="X63" s="55"/>
      <c r="Y63" s="56">
        <v>2</v>
      </c>
      <c r="Z63" s="28"/>
      <c r="AC63" s="28"/>
    </row>
    <row r="64" spans="1:30" ht="28.5" customHeight="1">
      <c r="A64" s="31" t="s">
        <v>133</v>
      </c>
      <c r="B64" s="28"/>
      <c r="C64" s="28"/>
      <c r="D64" s="28"/>
      <c r="E64" s="28"/>
      <c r="F64" s="28"/>
      <c r="G64" s="28"/>
      <c r="H64" s="28"/>
      <c r="I64" s="28"/>
      <c r="J64" s="45"/>
      <c r="K64" s="45"/>
      <c r="L64" s="214" t="s">
        <v>50</v>
      </c>
      <c r="M64" s="55"/>
      <c r="N64" s="55"/>
      <c r="O64" s="55"/>
      <c r="P64" s="28"/>
      <c r="Q64" s="45"/>
      <c r="R64" s="45"/>
      <c r="S64" s="45"/>
      <c r="T64" s="53">
        <f t="shared" si="9"/>
        <v>2</v>
      </c>
      <c r="U64" s="55"/>
      <c r="V64" s="54"/>
      <c r="W64" s="55"/>
      <c r="X64" s="55"/>
      <c r="Y64" s="56">
        <v>2</v>
      </c>
      <c r="Z64" s="28"/>
      <c r="AC64" s="28"/>
    </row>
    <row r="65" spans="1:29" ht="28.5" customHeight="1">
      <c r="A65" s="31" t="s">
        <v>134</v>
      </c>
      <c r="B65" s="28"/>
      <c r="C65" s="28"/>
      <c r="D65" s="28"/>
      <c r="E65" s="28"/>
      <c r="F65" s="28"/>
      <c r="G65" s="28"/>
      <c r="H65" s="28"/>
      <c r="I65" s="28"/>
      <c r="J65" s="45"/>
      <c r="K65" s="45"/>
      <c r="L65" s="214" t="s">
        <v>50</v>
      </c>
      <c r="M65" s="55"/>
      <c r="N65" s="55"/>
      <c r="O65" s="55"/>
      <c r="P65" s="28"/>
      <c r="Q65" s="45"/>
      <c r="R65" s="45"/>
      <c r="S65" s="45"/>
      <c r="T65" s="53">
        <f t="shared" si="9"/>
        <v>2</v>
      </c>
      <c r="U65" s="55"/>
      <c r="V65" s="54"/>
      <c r="W65" s="55"/>
      <c r="X65" s="55"/>
      <c r="Y65" s="56">
        <v>2</v>
      </c>
      <c r="Z65" s="28"/>
      <c r="AC65" s="28"/>
    </row>
    <row r="66" spans="1:29" ht="28.5" customHeight="1">
      <c r="A66" s="31" t="s">
        <v>135</v>
      </c>
      <c r="B66" s="28"/>
      <c r="C66" s="28"/>
      <c r="D66" s="28"/>
      <c r="E66" s="28"/>
      <c r="F66" s="28"/>
      <c r="G66" s="28"/>
      <c r="H66" s="28"/>
      <c r="I66" s="28"/>
      <c r="J66" s="45"/>
      <c r="K66" s="45"/>
      <c r="L66" s="214" t="s">
        <v>50</v>
      </c>
      <c r="M66" s="55"/>
      <c r="N66" s="55"/>
      <c r="O66" s="55"/>
      <c r="Q66" s="45"/>
      <c r="R66" s="45"/>
      <c r="S66" s="45"/>
      <c r="T66" s="53">
        <f t="shared" si="9"/>
        <v>2</v>
      </c>
      <c r="U66" s="55"/>
      <c r="V66" s="54"/>
      <c r="W66" s="55"/>
      <c r="X66" s="55"/>
      <c r="Y66" s="56">
        <v>2</v>
      </c>
    </row>
    <row r="67" spans="1:29" ht="28.5" customHeight="1">
      <c r="A67" s="31" t="s">
        <v>136</v>
      </c>
      <c r="B67" s="28"/>
      <c r="C67" s="28"/>
      <c r="D67" s="28"/>
      <c r="E67" s="28"/>
      <c r="F67" s="28"/>
      <c r="G67" s="28"/>
      <c r="H67" s="28"/>
      <c r="I67" s="28"/>
      <c r="J67" s="45"/>
      <c r="K67" s="45"/>
      <c r="L67" s="214" t="s">
        <v>50</v>
      </c>
      <c r="M67" s="55"/>
      <c r="N67" s="55"/>
      <c r="O67" s="55"/>
      <c r="Q67" s="45"/>
      <c r="R67" s="45"/>
      <c r="S67" s="45"/>
      <c r="T67" s="53">
        <f t="shared" si="9"/>
        <v>2</v>
      </c>
      <c r="U67" s="55"/>
      <c r="V67" s="54"/>
      <c r="W67" s="55"/>
      <c r="X67" s="55"/>
      <c r="Y67" s="56">
        <v>2</v>
      </c>
    </row>
    <row r="68" spans="1:29" ht="28.5" customHeight="1">
      <c r="A68" s="31" t="s">
        <v>137</v>
      </c>
      <c r="B68" s="28"/>
      <c r="C68" s="28"/>
      <c r="D68" s="28"/>
      <c r="E68" s="28"/>
      <c r="F68" s="28"/>
      <c r="G68" s="28"/>
      <c r="H68" s="28"/>
      <c r="I68" s="28"/>
      <c r="J68" s="45"/>
      <c r="K68" s="45"/>
      <c r="L68" s="214" t="s">
        <v>50</v>
      </c>
      <c r="M68" s="55"/>
      <c r="N68" s="55"/>
      <c r="O68" s="55"/>
      <c r="Q68" s="45"/>
      <c r="R68" s="45"/>
      <c r="S68" s="45"/>
      <c r="T68" s="53">
        <f t="shared" si="9"/>
        <v>2</v>
      </c>
      <c r="U68" s="55"/>
      <c r="V68" s="54"/>
      <c r="W68" s="55"/>
      <c r="X68" s="55"/>
      <c r="Y68" s="56">
        <v>2</v>
      </c>
    </row>
    <row r="69" spans="1:29" ht="28.5" customHeight="1">
      <c r="A69" s="31" t="s">
        <v>138</v>
      </c>
      <c r="B69" s="28"/>
      <c r="C69" s="28"/>
      <c r="D69" s="28"/>
      <c r="E69" s="28"/>
      <c r="F69" s="28"/>
      <c r="G69" s="28"/>
      <c r="H69" s="28"/>
      <c r="I69" s="28"/>
      <c r="J69" s="45"/>
      <c r="K69" s="45"/>
      <c r="L69" s="214" t="s">
        <v>50</v>
      </c>
      <c r="M69" s="55"/>
      <c r="N69" s="55"/>
      <c r="O69" s="55"/>
      <c r="Q69" s="45"/>
      <c r="R69" s="45"/>
      <c r="S69" s="45"/>
      <c r="T69" s="53">
        <f t="shared" si="9"/>
        <v>2</v>
      </c>
      <c r="U69" s="55"/>
      <c r="V69" s="54"/>
      <c r="W69" s="55"/>
      <c r="X69" s="55"/>
      <c r="Y69" s="56">
        <v>2</v>
      </c>
    </row>
    <row r="70" spans="1:29" ht="28.5" customHeight="1">
      <c r="A70" s="31" t="s">
        <v>139</v>
      </c>
      <c r="B70" s="28"/>
      <c r="C70" s="28"/>
      <c r="D70" s="28"/>
      <c r="E70" s="28"/>
      <c r="F70" s="28"/>
      <c r="G70" s="28"/>
      <c r="H70" s="28"/>
      <c r="I70" s="28"/>
      <c r="J70" s="45"/>
      <c r="K70" s="45"/>
      <c r="L70" s="214" t="s">
        <v>50</v>
      </c>
      <c r="M70" s="55"/>
      <c r="N70" s="55"/>
      <c r="O70" s="55"/>
      <c r="Q70" s="45"/>
      <c r="R70" s="45"/>
      <c r="S70" s="45"/>
      <c r="T70" s="53">
        <f t="shared" si="9"/>
        <v>2</v>
      </c>
      <c r="U70" s="55"/>
      <c r="V70" s="54"/>
      <c r="W70" s="55"/>
      <c r="X70" s="55"/>
      <c r="Y70" s="56">
        <v>2</v>
      </c>
    </row>
    <row r="71" spans="1:29" ht="28.5" customHeight="1">
      <c r="A71" s="31" t="s">
        <v>140</v>
      </c>
      <c r="B71" s="28"/>
      <c r="C71" s="28"/>
      <c r="D71" s="28"/>
      <c r="E71" s="28"/>
      <c r="F71" s="28"/>
      <c r="G71" s="28"/>
      <c r="H71" s="28"/>
      <c r="I71" s="28"/>
      <c r="J71" s="45"/>
      <c r="K71" s="45"/>
      <c r="L71" s="214" t="s">
        <v>50</v>
      </c>
      <c r="M71" s="55"/>
      <c r="N71" s="55"/>
      <c r="O71" s="55"/>
      <c r="Q71" s="45"/>
      <c r="R71" s="45"/>
      <c r="S71" s="45"/>
      <c r="T71" s="53">
        <f t="shared" si="9"/>
        <v>2</v>
      </c>
      <c r="U71" s="55"/>
      <c r="V71" s="54"/>
      <c r="W71" s="55"/>
      <c r="X71" s="55"/>
      <c r="Y71" s="56">
        <v>2</v>
      </c>
    </row>
    <row r="72" spans="1:29" ht="28.5" customHeight="1">
      <c r="A72" s="31" t="s">
        <v>141</v>
      </c>
      <c r="B72" s="28"/>
      <c r="C72" s="28"/>
      <c r="D72" s="28"/>
      <c r="E72" s="28"/>
      <c r="F72" s="28"/>
      <c r="G72" s="28"/>
      <c r="H72" s="28"/>
      <c r="I72" s="28"/>
      <c r="J72" s="45"/>
      <c r="K72" s="45"/>
      <c r="L72" s="214" t="s">
        <v>50</v>
      </c>
      <c r="M72" s="55"/>
      <c r="N72" s="55"/>
      <c r="O72" s="55"/>
      <c r="Q72" s="45"/>
      <c r="R72" s="45"/>
      <c r="S72" s="45"/>
      <c r="T72" s="53">
        <f t="shared" si="9"/>
        <v>2</v>
      </c>
      <c r="U72" s="55"/>
      <c r="V72" s="54"/>
      <c r="W72" s="55"/>
      <c r="X72" s="55"/>
      <c r="Y72" s="56">
        <v>2</v>
      </c>
    </row>
    <row r="73" spans="1:29" ht="28.5" customHeight="1">
      <c r="A73" s="31" t="s">
        <v>142</v>
      </c>
      <c r="B73" s="28"/>
      <c r="C73" s="28"/>
      <c r="D73" s="28"/>
      <c r="E73" s="28"/>
      <c r="F73" s="28"/>
      <c r="G73" s="28"/>
      <c r="H73" s="28"/>
      <c r="I73" s="28"/>
      <c r="J73" s="45"/>
      <c r="K73" s="45"/>
      <c r="L73" s="214" t="s">
        <v>50</v>
      </c>
      <c r="M73" s="55"/>
      <c r="N73" s="55"/>
      <c r="O73" s="55"/>
      <c r="Q73" s="45"/>
      <c r="R73" s="45"/>
      <c r="S73" s="45"/>
      <c r="T73" s="53">
        <f t="shared" si="9"/>
        <v>2</v>
      </c>
      <c r="U73" s="55"/>
      <c r="V73" s="54"/>
      <c r="W73" s="55"/>
      <c r="X73" s="55"/>
      <c r="Y73" s="56">
        <v>2</v>
      </c>
    </row>
    <row r="74" spans="1:29" ht="28.5" customHeight="1">
      <c r="A74" s="31" t="s">
        <v>143</v>
      </c>
      <c r="B74" s="28"/>
      <c r="C74" s="28"/>
      <c r="D74" s="28"/>
      <c r="E74" s="28"/>
      <c r="F74" s="28"/>
      <c r="G74" s="28"/>
      <c r="H74" s="28"/>
      <c r="I74" s="28"/>
      <c r="J74" s="45"/>
      <c r="K74" s="45"/>
      <c r="L74" s="214" t="s">
        <v>50</v>
      </c>
      <c r="M74" s="55"/>
      <c r="N74" s="55"/>
      <c r="O74" s="55"/>
      <c r="Q74" s="45"/>
      <c r="R74" s="45"/>
      <c r="S74" s="45"/>
      <c r="T74" s="53">
        <f t="shared" si="9"/>
        <v>2</v>
      </c>
      <c r="U74" s="55"/>
      <c r="V74" s="54"/>
      <c r="W74" s="55"/>
      <c r="X74" s="55"/>
      <c r="Y74" s="56">
        <v>2</v>
      </c>
    </row>
    <row r="75" spans="1:29" ht="28.5" customHeight="1">
      <c r="A75" s="31" t="s">
        <v>144</v>
      </c>
      <c r="B75" s="28"/>
      <c r="C75" s="28"/>
      <c r="D75" s="28"/>
      <c r="E75" s="28"/>
      <c r="F75" s="28"/>
      <c r="G75" s="28"/>
      <c r="H75" s="28"/>
      <c r="I75" s="28"/>
      <c r="J75" s="45"/>
      <c r="K75" s="45"/>
      <c r="L75" s="214" t="s">
        <v>60</v>
      </c>
      <c r="M75" s="55"/>
      <c r="N75" s="55"/>
      <c r="O75" s="55"/>
      <c r="Q75" s="45"/>
      <c r="R75" s="45"/>
      <c r="S75" s="45"/>
      <c r="T75" s="53">
        <f t="shared" si="9"/>
        <v>2</v>
      </c>
      <c r="U75" s="55"/>
      <c r="V75" s="54"/>
      <c r="W75" s="55"/>
      <c r="X75" s="55"/>
      <c r="Y75" s="56">
        <v>2</v>
      </c>
    </row>
    <row r="76" spans="1:29" ht="28.5" customHeight="1">
      <c r="A76" s="31" t="s">
        <v>145</v>
      </c>
      <c r="B76" s="28"/>
      <c r="C76" s="28"/>
      <c r="D76" s="28"/>
      <c r="E76" s="28"/>
      <c r="F76" s="28"/>
      <c r="G76" s="28"/>
      <c r="H76" s="28"/>
      <c r="I76" s="28"/>
      <c r="J76" s="45"/>
      <c r="K76" s="45"/>
      <c r="L76" s="214" t="s">
        <v>60</v>
      </c>
      <c r="M76" s="55"/>
      <c r="N76" s="55"/>
      <c r="O76" s="55"/>
      <c r="Q76" s="45"/>
      <c r="R76" s="45"/>
      <c r="S76" s="45"/>
      <c r="T76" s="53">
        <f t="shared" ref="T76:T139" si="11">IF(OR(L76="A",L76="BBB"),1,IF(OR(L76="BB",L76="B"),2,IF(OR(L76="CCC",L76="CC"),3,K$1)))</f>
        <v>2</v>
      </c>
      <c r="U76" s="55"/>
      <c r="V76" s="54"/>
      <c r="W76" s="55"/>
      <c r="X76" s="55"/>
      <c r="Y76" s="56">
        <v>2</v>
      </c>
    </row>
    <row r="77" spans="1:29" ht="28.5" customHeight="1">
      <c r="A77" s="31" t="s">
        <v>146</v>
      </c>
      <c r="B77" s="28"/>
      <c r="C77" s="28"/>
      <c r="D77" s="28"/>
      <c r="E77" s="28"/>
      <c r="F77" s="28"/>
      <c r="G77" s="28"/>
      <c r="H77" s="28"/>
      <c r="I77" s="28"/>
      <c r="J77" s="45"/>
      <c r="K77" s="45"/>
      <c r="L77" s="214" t="s">
        <v>60</v>
      </c>
      <c r="M77" s="55"/>
      <c r="N77" s="55"/>
      <c r="O77" s="55"/>
      <c r="Q77" s="45"/>
      <c r="R77" s="45"/>
      <c r="S77" s="45"/>
      <c r="T77" s="53">
        <f t="shared" si="11"/>
        <v>2</v>
      </c>
      <c r="U77" s="55"/>
      <c r="V77" s="54"/>
      <c r="W77" s="55"/>
      <c r="X77" s="55"/>
      <c r="Y77" s="56">
        <v>2</v>
      </c>
    </row>
    <row r="78" spans="1:29" ht="28.5" customHeight="1">
      <c r="A78" s="31" t="s">
        <v>147</v>
      </c>
      <c r="B78" s="28"/>
      <c r="C78" s="28"/>
      <c r="D78" s="28"/>
      <c r="E78" s="28"/>
      <c r="F78" s="28"/>
      <c r="G78" s="28"/>
      <c r="H78" s="28"/>
      <c r="I78" s="28"/>
      <c r="J78" s="45"/>
      <c r="K78" s="45"/>
      <c r="L78" s="214" t="s">
        <v>60</v>
      </c>
      <c r="M78" s="55"/>
      <c r="N78" s="55"/>
      <c r="O78" s="55"/>
      <c r="Q78" s="45"/>
      <c r="R78" s="45"/>
      <c r="S78" s="45"/>
      <c r="T78" s="53">
        <f t="shared" si="11"/>
        <v>2</v>
      </c>
      <c r="U78" s="55"/>
      <c r="V78" s="54"/>
      <c r="W78" s="55"/>
      <c r="X78" s="55"/>
      <c r="Y78" s="56">
        <v>2</v>
      </c>
    </row>
    <row r="79" spans="1:29" ht="28.5" customHeight="1">
      <c r="A79" s="31" t="s">
        <v>148</v>
      </c>
      <c r="B79" s="28"/>
      <c r="C79" s="28"/>
      <c r="D79" s="28"/>
      <c r="E79" s="28"/>
      <c r="F79" s="28"/>
      <c r="G79" s="28"/>
      <c r="H79" s="28"/>
      <c r="I79" s="28"/>
      <c r="J79" s="45"/>
      <c r="K79" s="45"/>
      <c r="L79" s="214" t="s">
        <v>60</v>
      </c>
      <c r="M79" s="55"/>
      <c r="N79" s="55"/>
      <c r="O79" s="55"/>
      <c r="Q79" s="45"/>
      <c r="R79" s="45"/>
      <c r="S79" s="45"/>
      <c r="T79" s="53">
        <f t="shared" si="11"/>
        <v>2</v>
      </c>
      <c r="U79" s="55"/>
      <c r="V79" s="54"/>
      <c r="W79" s="55"/>
      <c r="X79" s="55"/>
      <c r="Y79" s="56">
        <v>2</v>
      </c>
    </row>
    <row r="80" spans="1:29" ht="28.5" customHeight="1">
      <c r="A80" s="31" t="s">
        <v>149</v>
      </c>
      <c r="B80" s="28"/>
      <c r="C80" s="28"/>
      <c r="D80" s="28"/>
      <c r="E80" s="28"/>
      <c r="F80" s="28"/>
      <c r="G80" s="28"/>
      <c r="H80" s="28"/>
      <c r="I80" s="28"/>
      <c r="J80" s="45"/>
      <c r="K80" s="45"/>
      <c r="L80" s="214" t="s">
        <v>60</v>
      </c>
      <c r="M80" s="55"/>
      <c r="N80" s="55"/>
      <c r="O80" s="55"/>
      <c r="Q80" s="45"/>
      <c r="R80" s="45"/>
      <c r="S80" s="45"/>
      <c r="T80" s="53">
        <f t="shared" si="11"/>
        <v>2</v>
      </c>
      <c r="U80" s="55"/>
      <c r="V80" s="54"/>
      <c r="W80" s="55"/>
      <c r="X80" s="55"/>
      <c r="Y80" s="56">
        <v>2</v>
      </c>
    </row>
    <row r="81" spans="1:25" ht="28.5" customHeight="1">
      <c r="A81" s="31" t="s">
        <v>73</v>
      </c>
      <c r="B81" s="28"/>
      <c r="C81" s="28"/>
      <c r="D81" s="28"/>
      <c r="E81" s="28"/>
      <c r="F81" s="28"/>
      <c r="G81" s="28"/>
      <c r="H81" s="28"/>
      <c r="I81" s="28"/>
      <c r="J81" s="45"/>
      <c r="K81" s="45"/>
      <c r="L81" s="214" t="s">
        <v>60</v>
      </c>
      <c r="M81" s="55"/>
      <c r="N81" s="55"/>
      <c r="O81" s="55"/>
      <c r="Q81" s="45"/>
      <c r="R81" s="45"/>
      <c r="S81" s="45"/>
      <c r="T81" s="53">
        <f t="shared" si="11"/>
        <v>2</v>
      </c>
      <c r="U81" s="55"/>
      <c r="V81" s="54"/>
      <c r="W81" s="55"/>
      <c r="X81" s="55"/>
      <c r="Y81" s="56">
        <v>2</v>
      </c>
    </row>
    <row r="82" spans="1:25" ht="28.5" customHeight="1">
      <c r="A82" s="31" t="s">
        <v>150</v>
      </c>
      <c r="B82" s="28"/>
      <c r="C82" s="28"/>
      <c r="D82" s="28"/>
      <c r="E82" s="28"/>
      <c r="F82" s="28"/>
      <c r="G82" s="28"/>
      <c r="H82" s="28"/>
      <c r="I82" s="28"/>
      <c r="J82" s="45"/>
      <c r="K82" s="45"/>
      <c r="L82" s="214" t="s">
        <v>60</v>
      </c>
      <c r="M82" s="55"/>
      <c r="N82" s="55"/>
      <c r="O82" s="55"/>
      <c r="Q82" s="45"/>
      <c r="R82" s="45"/>
      <c r="S82" s="45"/>
      <c r="T82" s="53">
        <f t="shared" si="11"/>
        <v>2</v>
      </c>
      <c r="U82" s="55"/>
      <c r="V82" s="54"/>
      <c r="W82" s="55"/>
      <c r="X82" s="55"/>
      <c r="Y82" s="56">
        <v>2</v>
      </c>
    </row>
    <row r="83" spans="1:25" ht="28.5" customHeight="1">
      <c r="A83" s="31" t="s">
        <v>151</v>
      </c>
      <c r="B83" s="28"/>
      <c r="C83" s="28"/>
      <c r="D83" s="28"/>
      <c r="E83" s="28"/>
      <c r="F83" s="28"/>
      <c r="G83" s="28"/>
      <c r="H83" s="28"/>
      <c r="I83" s="28"/>
      <c r="J83" s="45"/>
      <c r="K83" s="45"/>
      <c r="L83" s="214" t="s">
        <v>60</v>
      </c>
      <c r="M83" s="55"/>
      <c r="N83" s="55"/>
      <c r="O83" s="55"/>
      <c r="Q83" s="45"/>
      <c r="R83" s="45"/>
      <c r="S83" s="45"/>
      <c r="T83" s="53">
        <f t="shared" si="11"/>
        <v>2</v>
      </c>
      <c r="U83" s="55"/>
      <c r="V83" s="54"/>
      <c r="W83" s="55"/>
      <c r="X83" s="55"/>
      <c r="Y83" s="56">
        <v>2</v>
      </c>
    </row>
    <row r="84" spans="1:25" ht="28.5" customHeight="1">
      <c r="A84" s="31" t="s">
        <v>152</v>
      </c>
      <c r="B84" s="28"/>
      <c r="C84" s="28"/>
      <c r="D84" s="28"/>
      <c r="E84" s="28"/>
      <c r="F84" s="28"/>
      <c r="G84" s="28"/>
      <c r="H84" s="28"/>
      <c r="I84" s="28"/>
      <c r="J84" s="45"/>
      <c r="K84" s="45"/>
      <c r="L84" s="214" t="s">
        <v>60</v>
      </c>
      <c r="M84" s="55"/>
      <c r="N84" s="55"/>
      <c r="O84" s="55"/>
      <c r="Q84" s="45"/>
      <c r="R84" s="45"/>
      <c r="S84" s="45"/>
      <c r="T84" s="53">
        <f t="shared" si="11"/>
        <v>2</v>
      </c>
      <c r="U84" s="55"/>
      <c r="V84" s="54"/>
      <c r="W84" s="55"/>
      <c r="X84" s="55"/>
      <c r="Y84" s="56">
        <v>2</v>
      </c>
    </row>
    <row r="85" spans="1:25" ht="28.5" customHeight="1">
      <c r="A85" s="31" t="s">
        <v>153</v>
      </c>
      <c r="B85" s="28"/>
      <c r="C85" s="28"/>
      <c r="D85" s="28"/>
      <c r="E85" s="28"/>
      <c r="F85" s="28"/>
      <c r="G85" s="28"/>
      <c r="H85" s="28"/>
      <c r="I85" s="28"/>
      <c r="J85" s="45"/>
      <c r="K85" s="45"/>
      <c r="L85" s="214" t="s">
        <v>60</v>
      </c>
      <c r="M85" s="55"/>
      <c r="N85" s="55"/>
      <c r="O85" s="55"/>
      <c r="Q85" s="45"/>
      <c r="R85" s="45"/>
      <c r="S85" s="45"/>
      <c r="T85" s="53">
        <f t="shared" si="11"/>
        <v>2</v>
      </c>
      <c r="U85" s="55"/>
      <c r="V85" s="54"/>
      <c r="W85" s="55"/>
      <c r="X85" s="55"/>
      <c r="Y85" s="56">
        <v>2</v>
      </c>
    </row>
    <row r="86" spans="1:25" ht="28.5" customHeight="1">
      <c r="A86" s="31" t="s">
        <v>154</v>
      </c>
      <c r="B86" s="28"/>
      <c r="C86" s="28"/>
      <c r="D86" s="28"/>
      <c r="E86" s="28"/>
      <c r="F86" s="28"/>
      <c r="G86" s="28"/>
      <c r="H86" s="28"/>
      <c r="I86" s="28"/>
      <c r="J86" s="45"/>
      <c r="K86" s="45"/>
      <c r="L86" s="214" t="s">
        <v>60</v>
      </c>
      <c r="M86" s="55"/>
      <c r="N86" s="55"/>
      <c r="O86" s="55"/>
      <c r="Q86" s="45"/>
      <c r="R86" s="45"/>
      <c r="S86" s="45"/>
      <c r="T86" s="53">
        <f t="shared" si="11"/>
        <v>2</v>
      </c>
      <c r="U86" s="55"/>
      <c r="V86" s="54"/>
      <c r="W86" s="55"/>
      <c r="X86" s="55"/>
      <c r="Y86" s="56">
        <v>2</v>
      </c>
    </row>
    <row r="87" spans="1:25" ht="28.5" customHeight="1">
      <c r="A87" s="31" t="s">
        <v>155</v>
      </c>
      <c r="B87" s="28"/>
      <c r="C87" s="28"/>
      <c r="D87" s="28"/>
      <c r="E87" s="28"/>
      <c r="F87" s="28"/>
      <c r="G87" s="28"/>
      <c r="H87" s="28"/>
      <c r="I87" s="28"/>
      <c r="J87" s="45"/>
      <c r="K87" s="45"/>
      <c r="L87" s="214" t="s">
        <v>60</v>
      </c>
      <c r="M87" s="55"/>
      <c r="N87" s="55"/>
      <c r="O87" s="55"/>
      <c r="Q87" s="45"/>
      <c r="R87" s="45"/>
      <c r="S87" s="45"/>
      <c r="T87" s="53">
        <f t="shared" si="11"/>
        <v>2</v>
      </c>
      <c r="U87" s="55"/>
      <c r="V87" s="54"/>
      <c r="W87" s="55"/>
      <c r="X87" s="55"/>
      <c r="Y87" s="56">
        <v>2</v>
      </c>
    </row>
    <row r="88" spans="1:25" ht="28.5" customHeight="1">
      <c r="A88" s="31" t="s">
        <v>88</v>
      </c>
      <c r="B88" s="28"/>
      <c r="C88" s="28"/>
      <c r="D88" s="28"/>
      <c r="E88" s="28"/>
      <c r="F88" s="28"/>
      <c r="G88" s="28"/>
      <c r="H88" s="28"/>
      <c r="I88" s="28"/>
      <c r="J88" s="45"/>
      <c r="K88" s="45"/>
      <c r="L88" s="214" t="s">
        <v>60</v>
      </c>
      <c r="M88" s="55"/>
      <c r="N88" s="55"/>
      <c r="O88" s="55"/>
      <c r="Q88" s="45"/>
      <c r="R88" s="45"/>
      <c r="S88" s="45"/>
      <c r="T88" s="53">
        <f t="shared" si="11"/>
        <v>2</v>
      </c>
      <c r="U88" s="55"/>
      <c r="V88" s="54"/>
      <c r="W88" s="55"/>
      <c r="X88" s="55"/>
      <c r="Y88" s="56">
        <v>2</v>
      </c>
    </row>
    <row r="89" spans="1:25" ht="28.5" customHeight="1">
      <c r="A89" s="31" t="s">
        <v>156</v>
      </c>
      <c r="B89" s="28"/>
      <c r="C89" s="28"/>
      <c r="D89" s="28"/>
      <c r="E89" s="28"/>
      <c r="F89" s="28"/>
      <c r="G89" s="28"/>
      <c r="H89" s="28"/>
      <c r="I89" s="28"/>
      <c r="J89" s="45"/>
      <c r="K89" s="45"/>
      <c r="L89" s="214" t="s">
        <v>60</v>
      </c>
      <c r="M89" s="55"/>
      <c r="N89" s="55"/>
      <c r="O89" s="55"/>
      <c r="Q89" s="45"/>
      <c r="R89" s="45"/>
      <c r="S89" s="45"/>
      <c r="T89" s="53">
        <f t="shared" si="11"/>
        <v>2</v>
      </c>
      <c r="U89" s="55"/>
      <c r="V89" s="54"/>
      <c r="W89" s="55"/>
      <c r="X89" s="55"/>
      <c r="Y89" s="56">
        <v>2</v>
      </c>
    </row>
    <row r="90" spans="1:25" ht="28.5" customHeight="1">
      <c r="A90" s="31" t="s">
        <v>157</v>
      </c>
      <c r="B90" s="28"/>
      <c r="C90" s="28"/>
      <c r="D90" s="28"/>
      <c r="E90" s="28"/>
      <c r="F90" s="28"/>
      <c r="G90" s="28"/>
      <c r="H90" s="28"/>
      <c r="I90" s="28"/>
      <c r="J90" s="45"/>
      <c r="K90" s="45"/>
      <c r="L90" s="214" t="s">
        <v>60</v>
      </c>
      <c r="M90" s="55"/>
      <c r="N90" s="55"/>
      <c r="O90" s="55"/>
      <c r="Q90" s="45"/>
      <c r="R90" s="45"/>
      <c r="S90" s="45"/>
      <c r="T90" s="53">
        <f t="shared" si="11"/>
        <v>2</v>
      </c>
      <c r="U90" s="55"/>
      <c r="V90" s="54"/>
      <c r="W90" s="55"/>
      <c r="X90" s="55"/>
      <c r="Y90" s="56">
        <v>2</v>
      </c>
    </row>
    <row r="91" spans="1:25" ht="28.5" customHeight="1">
      <c r="A91" s="31" t="s">
        <v>158</v>
      </c>
      <c r="B91" s="28"/>
      <c r="C91" s="28"/>
      <c r="D91" s="28"/>
      <c r="E91" s="28"/>
      <c r="F91" s="28"/>
      <c r="G91" s="28"/>
      <c r="H91" s="28"/>
      <c r="I91" s="28"/>
      <c r="J91" s="45"/>
      <c r="K91" s="45"/>
      <c r="L91" s="214" t="s">
        <v>60</v>
      </c>
      <c r="M91" s="55"/>
      <c r="N91" s="55"/>
      <c r="O91" s="55"/>
      <c r="Q91" s="45"/>
      <c r="R91" s="45"/>
      <c r="S91" s="45"/>
      <c r="T91" s="53">
        <f t="shared" si="11"/>
        <v>2</v>
      </c>
      <c r="U91" s="55"/>
      <c r="V91" s="54"/>
      <c r="W91" s="55"/>
      <c r="X91" s="55"/>
      <c r="Y91" s="56">
        <v>2</v>
      </c>
    </row>
    <row r="92" spans="1:25" ht="28.5" customHeight="1">
      <c r="A92" s="31" t="s">
        <v>159</v>
      </c>
      <c r="B92" s="28"/>
      <c r="C92" s="28"/>
      <c r="D92" s="28"/>
      <c r="E92" s="28"/>
      <c r="F92" s="28"/>
      <c r="G92" s="28"/>
      <c r="H92" s="28"/>
      <c r="I92" s="28"/>
      <c r="J92" s="45"/>
      <c r="K92" s="45"/>
      <c r="L92" s="214" t="s">
        <v>60</v>
      </c>
      <c r="M92" s="55"/>
      <c r="N92" s="55"/>
      <c r="O92" s="55"/>
      <c r="Q92" s="45"/>
      <c r="R92" s="45"/>
      <c r="S92" s="45"/>
      <c r="T92" s="53">
        <f t="shared" si="11"/>
        <v>2</v>
      </c>
      <c r="U92" s="55"/>
      <c r="V92" s="54"/>
      <c r="W92" s="55"/>
      <c r="X92" s="55"/>
      <c r="Y92" s="56">
        <v>2</v>
      </c>
    </row>
    <row r="93" spans="1:25" ht="28.5" customHeight="1">
      <c r="A93" s="31" t="s">
        <v>160</v>
      </c>
      <c r="B93" s="28"/>
      <c r="C93" s="28"/>
      <c r="D93" s="28"/>
      <c r="E93" s="28"/>
      <c r="F93" s="28"/>
      <c r="G93" s="28"/>
      <c r="H93" s="28"/>
      <c r="I93" s="28"/>
      <c r="J93" s="45"/>
      <c r="K93" s="45"/>
      <c r="L93" s="214" t="s">
        <v>60</v>
      </c>
      <c r="M93" s="55"/>
      <c r="N93" s="55"/>
      <c r="O93" s="55"/>
      <c r="Q93" s="45"/>
      <c r="R93" s="45"/>
      <c r="S93" s="45"/>
      <c r="T93" s="53">
        <f t="shared" si="11"/>
        <v>2</v>
      </c>
      <c r="U93" s="55"/>
      <c r="V93" s="54"/>
      <c r="W93" s="55"/>
      <c r="X93" s="55"/>
      <c r="Y93" s="56">
        <v>2</v>
      </c>
    </row>
    <row r="94" spans="1:25" ht="28.5" customHeight="1">
      <c r="A94" s="31" t="s">
        <v>161</v>
      </c>
      <c r="B94" s="28"/>
      <c r="C94" s="28"/>
      <c r="D94" s="28"/>
      <c r="E94" s="28"/>
      <c r="F94" s="28"/>
      <c r="G94" s="28"/>
      <c r="H94" s="28"/>
      <c r="I94" s="28"/>
      <c r="J94" s="45"/>
      <c r="K94" s="45"/>
      <c r="L94" s="214" t="s">
        <v>60</v>
      </c>
      <c r="M94" s="55"/>
      <c r="N94" s="55"/>
      <c r="O94" s="55"/>
      <c r="Q94" s="45"/>
      <c r="R94" s="45"/>
      <c r="S94" s="45"/>
      <c r="T94" s="53">
        <f t="shared" si="11"/>
        <v>2</v>
      </c>
      <c r="U94" s="55"/>
      <c r="V94" s="54"/>
      <c r="W94" s="55"/>
      <c r="X94" s="55"/>
      <c r="Y94" s="56">
        <v>2</v>
      </c>
    </row>
    <row r="95" spans="1:25" ht="28.5" customHeight="1">
      <c r="A95" s="31" t="s">
        <v>162</v>
      </c>
      <c r="B95" s="28"/>
      <c r="C95" s="28"/>
      <c r="D95" s="28"/>
      <c r="E95" s="28"/>
      <c r="F95" s="28"/>
      <c r="G95" s="28"/>
      <c r="H95" s="28"/>
      <c r="I95" s="28"/>
      <c r="J95" s="45"/>
      <c r="K95" s="45"/>
      <c r="L95" s="214" t="s">
        <v>60</v>
      </c>
      <c r="M95" s="55"/>
      <c r="N95" s="55"/>
      <c r="O95" s="55"/>
      <c r="Q95" s="45"/>
      <c r="R95" s="45"/>
      <c r="S95" s="45"/>
      <c r="T95" s="53">
        <f t="shared" si="11"/>
        <v>2</v>
      </c>
      <c r="U95" s="55"/>
      <c r="V95" s="54"/>
      <c r="W95" s="55"/>
      <c r="X95" s="55"/>
      <c r="Y95" s="56">
        <v>2</v>
      </c>
    </row>
    <row r="96" spans="1:25" ht="28.5" customHeight="1">
      <c r="A96" s="31" t="s">
        <v>163</v>
      </c>
      <c r="B96" s="28"/>
      <c r="C96" s="28"/>
      <c r="D96" s="28"/>
      <c r="E96" s="28"/>
      <c r="F96" s="28"/>
      <c r="G96" s="28"/>
      <c r="H96" s="28"/>
      <c r="I96" s="28"/>
      <c r="J96" s="45"/>
      <c r="K96" s="45"/>
      <c r="L96" s="214" t="s">
        <v>60</v>
      </c>
      <c r="M96" s="55"/>
      <c r="N96" s="55"/>
      <c r="O96" s="55"/>
      <c r="Q96" s="45"/>
      <c r="R96" s="45"/>
      <c r="S96" s="45"/>
      <c r="T96" s="53">
        <f t="shared" si="11"/>
        <v>2</v>
      </c>
      <c r="U96" s="55"/>
      <c r="V96" s="54"/>
      <c r="W96" s="55"/>
      <c r="X96" s="55"/>
      <c r="Y96" s="56">
        <v>2</v>
      </c>
    </row>
    <row r="97" spans="1:25" ht="28.5" customHeight="1">
      <c r="A97" s="31" t="s">
        <v>164</v>
      </c>
      <c r="B97" s="28"/>
      <c r="C97" s="28"/>
      <c r="D97" s="28"/>
      <c r="E97" s="28"/>
      <c r="F97" s="28"/>
      <c r="G97" s="28"/>
      <c r="H97" s="28"/>
      <c r="I97" s="28"/>
      <c r="J97" s="45"/>
      <c r="K97" s="45"/>
      <c r="L97" s="214" t="s">
        <v>72</v>
      </c>
      <c r="M97" s="55"/>
      <c r="N97" s="55"/>
      <c r="O97" s="55"/>
      <c r="Q97" s="45"/>
      <c r="R97" s="45"/>
      <c r="S97" s="45"/>
      <c r="T97" s="53">
        <f t="shared" si="11"/>
        <v>3</v>
      </c>
      <c r="U97" s="55"/>
      <c r="V97" s="54"/>
      <c r="W97" s="55"/>
      <c r="X97" s="55"/>
      <c r="Y97" s="56">
        <v>2</v>
      </c>
    </row>
    <row r="98" spans="1:25" ht="28.5" customHeight="1">
      <c r="A98" s="31" t="s">
        <v>165</v>
      </c>
      <c r="B98" s="28"/>
      <c r="C98" s="28"/>
      <c r="D98" s="28"/>
      <c r="E98" s="28"/>
      <c r="F98" s="28"/>
      <c r="G98" s="28"/>
      <c r="H98" s="28"/>
      <c r="I98" s="28"/>
      <c r="J98" s="45"/>
      <c r="K98" s="45"/>
      <c r="L98" s="214" t="s">
        <v>72</v>
      </c>
      <c r="M98" s="55"/>
      <c r="N98" s="55"/>
      <c r="O98" s="55"/>
      <c r="Q98" s="45"/>
      <c r="R98" s="45"/>
      <c r="S98" s="45"/>
      <c r="T98" s="53">
        <f t="shared" si="11"/>
        <v>3</v>
      </c>
      <c r="U98" s="55"/>
      <c r="V98" s="54"/>
      <c r="W98" s="55"/>
      <c r="X98" s="55"/>
      <c r="Y98" s="56">
        <v>2</v>
      </c>
    </row>
    <row r="99" spans="1:25" ht="28.5" customHeight="1">
      <c r="A99" s="31" t="s">
        <v>166</v>
      </c>
      <c r="B99" s="28"/>
      <c r="C99" s="28"/>
      <c r="D99" s="28"/>
      <c r="E99" s="28"/>
      <c r="F99" s="28"/>
      <c r="G99" s="28"/>
      <c r="H99" s="28"/>
      <c r="I99" s="28"/>
      <c r="J99" s="45"/>
      <c r="K99" s="45"/>
      <c r="L99" s="214" t="s">
        <v>72</v>
      </c>
      <c r="M99" s="55"/>
      <c r="N99" s="55"/>
      <c r="O99" s="55"/>
      <c r="Q99" s="45"/>
      <c r="R99" s="45"/>
      <c r="S99" s="45"/>
      <c r="T99" s="53">
        <f t="shared" si="11"/>
        <v>3</v>
      </c>
      <c r="U99" s="55"/>
      <c r="V99" s="54"/>
      <c r="W99" s="55"/>
      <c r="X99" s="55"/>
      <c r="Y99" s="56">
        <v>2</v>
      </c>
    </row>
    <row r="100" spans="1:25" ht="28.5" customHeight="1">
      <c r="A100" s="31" t="s">
        <v>167</v>
      </c>
      <c r="B100" s="28"/>
      <c r="C100" s="28"/>
      <c r="D100" s="28"/>
      <c r="E100" s="28"/>
      <c r="F100" s="28"/>
      <c r="G100" s="28"/>
      <c r="H100" s="28"/>
      <c r="I100" s="28"/>
      <c r="J100" s="45"/>
      <c r="K100" s="45"/>
      <c r="L100" s="214" t="s">
        <v>72</v>
      </c>
      <c r="M100" s="55"/>
      <c r="N100" s="55"/>
      <c r="O100" s="55"/>
      <c r="Q100" s="45"/>
      <c r="R100" s="45"/>
      <c r="S100" s="45"/>
      <c r="T100" s="53">
        <f t="shared" si="11"/>
        <v>3</v>
      </c>
      <c r="U100" s="55"/>
      <c r="V100" s="54"/>
      <c r="W100" s="55"/>
      <c r="X100" s="55"/>
      <c r="Y100" s="56">
        <v>2</v>
      </c>
    </row>
    <row r="101" spans="1:25" ht="28.5" customHeight="1">
      <c r="A101" s="31" t="s">
        <v>82</v>
      </c>
      <c r="B101" s="28"/>
      <c r="C101" s="28"/>
      <c r="D101" s="28"/>
      <c r="E101" s="28"/>
      <c r="F101" s="28"/>
      <c r="G101" s="28"/>
      <c r="H101" s="28"/>
      <c r="I101" s="28"/>
      <c r="J101" s="45"/>
      <c r="K101" s="45"/>
      <c r="L101" s="214" t="s">
        <v>72</v>
      </c>
      <c r="M101" s="55"/>
      <c r="N101" s="55"/>
      <c r="O101" s="55"/>
      <c r="Q101" s="45"/>
      <c r="R101" s="45"/>
      <c r="S101" s="45"/>
      <c r="T101" s="53">
        <f t="shared" si="11"/>
        <v>3</v>
      </c>
      <c r="U101" s="55"/>
      <c r="V101" s="54"/>
      <c r="W101" s="55"/>
      <c r="X101" s="55"/>
      <c r="Y101" s="56">
        <v>2</v>
      </c>
    </row>
    <row r="102" spans="1:25" ht="28.5" customHeight="1">
      <c r="A102" s="31" t="s">
        <v>168</v>
      </c>
      <c r="B102" s="28"/>
      <c r="C102" s="28"/>
      <c r="D102" s="28"/>
      <c r="E102" s="28"/>
      <c r="F102" s="28"/>
      <c r="G102" s="28"/>
      <c r="H102" s="28"/>
      <c r="I102" s="28"/>
      <c r="J102" s="45"/>
      <c r="K102" s="45"/>
      <c r="L102" s="214" t="s">
        <v>72</v>
      </c>
      <c r="M102" s="55"/>
      <c r="N102" s="55"/>
      <c r="O102" s="55"/>
      <c r="Q102" s="45"/>
      <c r="R102" s="45"/>
      <c r="S102" s="45"/>
      <c r="T102" s="53">
        <f t="shared" si="11"/>
        <v>3</v>
      </c>
      <c r="U102" s="55"/>
      <c r="V102" s="54"/>
      <c r="W102" s="55"/>
      <c r="X102" s="55"/>
      <c r="Y102" s="56">
        <v>2</v>
      </c>
    </row>
    <row r="103" spans="1:25" ht="28.5" customHeight="1">
      <c r="A103" s="31" t="s">
        <v>169</v>
      </c>
      <c r="B103" s="28"/>
      <c r="C103" s="28"/>
      <c r="D103" s="28"/>
      <c r="E103" s="28"/>
      <c r="F103" s="28"/>
      <c r="G103" s="28"/>
      <c r="H103" s="28"/>
      <c r="I103" s="28"/>
      <c r="J103" s="45"/>
      <c r="K103" s="45"/>
      <c r="L103" s="214" t="s">
        <v>72</v>
      </c>
      <c r="M103" s="55"/>
      <c r="N103" s="55"/>
      <c r="O103" s="55"/>
      <c r="Q103" s="45"/>
      <c r="R103" s="45"/>
      <c r="S103" s="45"/>
      <c r="T103" s="53">
        <f t="shared" si="11"/>
        <v>3</v>
      </c>
      <c r="U103" s="55"/>
      <c r="V103" s="54"/>
      <c r="W103" s="55"/>
      <c r="X103" s="55"/>
      <c r="Y103" s="56">
        <v>2</v>
      </c>
    </row>
    <row r="104" spans="1:25" ht="28.5" customHeight="1">
      <c r="A104" s="31" t="s">
        <v>170</v>
      </c>
      <c r="B104" s="28"/>
      <c r="C104" s="28"/>
      <c r="D104" s="28"/>
      <c r="E104" s="28"/>
      <c r="F104" s="28"/>
      <c r="G104" s="28"/>
      <c r="H104" s="28"/>
      <c r="I104" s="28"/>
      <c r="J104" s="45"/>
      <c r="K104" s="45"/>
      <c r="L104" s="214" t="s">
        <v>72</v>
      </c>
      <c r="M104" s="55"/>
      <c r="N104" s="55"/>
      <c r="O104" s="55"/>
      <c r="Q104" s="45"/>
      <c r="R104" s="45"/>
      <c r="S104" s="45"/>
      <c r="T104" s="53">
        <f t="shared" si="11"/>
        <v>3</v>
      </c>
      <c r="U104" s="55"/>
      <c r="V104" s="54"/>
      <c r="W104" s="55"/>
      <c r="X104" s="55"/>
      <c r="Y104" s="56">
        <v>2</v>
      </c>
    </row>
    <row r="105" spans="1:25" ht="28.5" customHeight="1">
      <c r="A105" s="31" t="s">
        <v>171</v>
      </c>
      <c r="B105" s="28"/>
      <c r="C105" s="28"/>
      <c r="D105" s="28"/>
      <c r="E105" s="28"/>
      <c r="F105" s="28"/>
      <c r="G105" s="28"/>
      <c r="H105" s="28"/>
      <c r="I105" s="28"/>
      <c r="J105" s="45"/>
      <c r="K105" s="45"/>
      <c r="L105" s="214" t="s">
        <v>72</v>
      </c>
      <c r="M105" s="55"/>
      <c r="N105" s="55"/>
      <c r="O105" s="55"/>
      <c r="Q105" s="45"/>
      <c r="R105" s="45"/>
      <c r="S105" s="45"/>
      <c r="T105" s="53">
        <f t="shared" si="11"/>
        <v>3</v>
      </c>
      <c r="U105" s="55"/>
      <c r="V105" s="54"/>
      <c r="W105" s="55"/>
      <c r="X105" s="55"/>
      <c r="Y105" s="56">
        <v>2</v>
      </c>
    </row>
    <row r="106" spans="1:25" ht="28.5" customHeight="1">
      <c r="A106" s="31" t="s">
        <v>172</v>
      </c>
      <c r="B106" s="28"/>
      <c r="C106" s="28"/>
      <c r="D106" s="28"/>
      <c r="E106" s="28"/>
      <c r="F106" s="28"/>
      <c r="G106" s="28"/>
      <c r="H106" s="28"/>
      <c r="I106" s="28"/>
      <c r="J106" s="45"/>
      <c r="K106" s="45"/>
      <c r="L106" s="214" t="s">
        <v>72</v>
      </c>
      <c r="M106" s="55"/>
      <c r="N106" s="55"/>
      <c r="O106" s="55"/>
      <c r="Q106" s="45"/>
      <c r="R106" s="45"/>
      <c r="S106" s="45"/>
      <c r="T106" s="53">
        <f t="shared" si="11"/>
        <v>3</v>
      </c>
      <c r="U106" s="55"/>
      <c r="V106" s="54"/>
      <c r="W106" s="55"/>
      <c r="X106" s="55"/>
      <c r="Y106" s="56">
        <v>2</v>
      </c>
    </row>
    <row r="107" spans="1:25" ht="28.5" customHeight="1">
      <c r="A107" s="31" t="s">
        <v>173</v>
      </c>
      <c r="B107" s="28"/>
      <c r="C107" s="28"/>
      <c r="D107" s="28"/>
      <c r="E107" s="28"/>
      <c r="F107" s="28"/>
      <c r="G107" s="28"/>
      <c r="H107" s="28"/>
      <c r="I107" s="28"/>
      <c r="J107" s="45"/>
      <c r="K107" s="45"/>
      <c r="L107" s="214" t="s">
        <v>72</v>
      </c>
      <c r="M107" s="55"/>
      <c r="N107" s="55"/>
      <c r="O107" s="55"/>
      <c r="Q107" s="45"/>
      <c r="R107" s="45"/>
      <c r="S107" s="45"/>
      <c r="T107" s="53">
        <f t="shared" si="11"/>
        <v>3</v>
      </c>
      <c r="U107" s="55"/>
      <c r="V107" s="54"/>
      <c r="W107" s="55"/>
      <c r="X107" s="55"/>
      <c r="Y107" s="56">
        <v>2</v>
      </c>
    </row>
    <row r="108" spans="1:25" ht="28.5" customHeight="1">
      <c r="A108" s="31" t="s">
        <v>174</v>
      </c>
      <c r="B108" s="28"/>
      <c r="C108" s="28"/>
      <c r="D108" s="28"/>
      <c r="E108" s="28"/>
      <c r="F108" s="28"/>
      <c r="G108" s="28"/>
      <c r="H108" s="28"/>
      <c r="I108" s="28"/>
      <c r="J108" s="45"/>
      <c r="K108" s="45"/>
      <c r="L108" s="214" t="s">
        <v>72</v>
      </c>
      <c r="M108" s="55"/>
      <c r="N108" s="55"/>
      <c r="O108" s="55"/>
      <c r="Q108" s="45"/>
      <c r="R108" s="45"/>
      <c r="S108" s="45"/>
      <c r="T108" s="53">
        <f t="shared" si="11"/>
        <v>3</v>
      </c>
      <c r="U108" s="55"/>
      <c r="V108" s="54"/>
      <c r="W108" s="55"/>
      <c r="X108" s="55"/>
      <c r="Y108" s="56">
        <v>2</v>
      </c>
    </row>
    <row r="109" spans="1:25" ht="28.5" customHeight="1">
      <c r="A109" s="31" t="s">
        <v>175</v>
      </c>
      <c r="B109" s="28"/>
      <c r="C109" s="28"/>
      <c r="D109" s="28"/>
      <c r="E109" s="28"/>
      <c r="F109" s="28"/>
      <c r="G109" s="28"/>
      <c r="H109" s="28"/>
      <c r="I109" s="28"/>
      <c r="J109" s="45"/>
      <c r="K109" s="45"/>
      <c r="L109" s="214" t="s">
        <v>72</v>
      </c>
      <c r="M109" s="55"/>
      <c r="N109" s="55"/>
      <c r="O109" s="55"/>
      <c r="Q109" s="45"/>
      <c r="R109" s="45"/>
      <c r="S109" s="45"/>
      <c r="T109" s="53">
        <f t="shared" si="11"/>
        <v>3</v>
      </c>
      <c r="U109" s="55"/>
      <c r="V109" s="54"/>
      <c r="W109" s="55"/>
      <c r="X109" s="55"/>
      <c r="Y109" s="56">
        <v>2</v>
      </c>
    </row>
    <row r="110" spans="1:25" ht="28.5" customHeight="1">
      <c r="A110" s="31" t="s">
        <v>176</v>
      </c>
      <c r="B110" s="28"/>
      <c r="C110" s="28"/>
      <c r="D110" s="28"/>
      <c r="E110" s="28"/>
      <c r="F110" s="28"/>
      <c r="G110" s="28"/>
      <c r="H110" s="28"/>
      <c r="I110" s="28"/>
      <c r="J110" s="45"/>
      <c r="K110" s="45"/>
      <c r="L110" s="214" t="s">
        <v>72</v>
      </c>
      <c r="M110" s="55"/>
      <c r="N110" s="55"/>
      <c r="O110" s="55"/>
      <c r="Q110" s="45"/>
      <c r="R110" s="45"/>
      <c r="S110" s="45"/>
      <c r="T110" s="53">
        <f t="shared" si="11"/>
        <v>3</v>
      </c>
      <c r="U110" s="55"/>
      <c r="V110" s="54"/>
      <c r="W110" s="55"/>
      <c r="X110" s="55"/>
      <c r="Y110" s="56">
        <v>2</v>
      </c>
    </row>
    <row r="111" spans="1:25" ht="28.5" customHeight="1">
      <c r="A111" s="31" t="s">
        <v>177</v>
      </c>
      <c r="B111" s="28"/>
      <c r="C111" s="28"/>
      <c r="D111" s="28"/>
      <c r="E111" s="28"/>
      <c r="F111" s="28"/>
      <c r="G111" s="28"/>
      <c r="H111" s="28"/>
      <c r="I111" s="28"/>
      <c r="J111" s="45"/>
      <c r="K111" s="45"/>
      <c r="L111" s="214" t="s">
        <v>72</v>
      </c>
      <c r="M111" s="55"/>
      <c r="N111" s="55"/>
      <c r="O111" s="55"/>
      <c r="Q111" s="45"/>
      <c r="R111" s="45"/>
      <c r="S111" s="45"/>
      <c r="T111" s="53">
        <f t="shared" si="11"/>
        <v>3</v>
      </c>
      <c r="U111" s="55"/>
      <c r="V111" s="54"/>
      <c r="W111" s="55"/>
      <c r="X111" s="55"/>
      <c r="Y111" s="56">
        <v>2</v>
      </c>
    </row>
    <row r="112" spans="1:25" ht="28.5" customHeight="1">
      <c r="A112" s="31" t="s">
        <v>178</v>
      </c>
      <c r="B112" s="28"/>
      <c r="C112" s="28"/>
      <c r="D112" s="28"/>
      <c r="E112" s="28"/>
      <c r="F112" s="28"/>
      <c r="G112" s="28"/>
      <c r="H112" s="28"/>
      <c r="I112" s="28"/>
      <c r="J112" s="45"/>
      <c r="K112" s="45"/>
      <c r="L112" s="214" t="s">
        <v>72</v>
      </c>
      <c r="M112" s="55"/>
      <c r="N112" s="55"/>
      <c r="O112" s="55"/>
      <c r="Q112" s="45"/>
      <c r="R112" s="45"/>
      <c r="S112" s="45"/>
      <c r="T112" s="53">
        <f t="shared" si="11"/>
        <v>3</v>
      </c>
      <c r="U112" s="55"/>
      <c r="V112" s="54"/>
      <c r="W112" s="55"/>
      <c r="X112" s="55"/>
      <c r="Y112" s="56">
        <v>2</v>
      </c>
    </row>
    <row r="113" spans="1:25" ht="28.5" customHeight="1">
      <c r="A113" s="31" t="s">
        <v>179</v>
      </c>
      <c r="B113" s="28"/>
      <c r="C113" s="28"/>
      <c r="D113" s="28"/>
      <c r="E113" s="28"/>
      <c r="F113" s="28"/>
      <c r="G113" s="28"/>
      <c r="H113" s="28"/>
      <c r="I113" s="28"/>
      <c r="J113" s="45"/>
      <c r="K113" s="45"/>
      <c r="L113" s="214" t="s">
        <v>72</v>
      </c>
      <c r="M113" s="55"/>
      <c r="N113" s="55"/>
      <c r="O113" s="55"/>
      <c r="Q113" s="45"/>
      <c r="R113" s="45"/>
      <c r="S113" s="45"/>
      <c r="T113" s="53">
        <f t="shared" si="11"/>
        <v>3</v>
      </c>
      <c r="U113" s="55"/>
      <c r="V113" s="54"/>
      <c r="W113" s="55"/>
      <c r="X113" s="55"/>
      <c r="Y113" s="56">
        <v>2</v>
      </c>
    </row>
    <row r="114" spans="1:25" ht="28.5" customHeight="1">
      <c r="A114" s="31" t="s">
        <v>180</v>
      </c>
      <c r="B114" s="28"/>
      <c r="C114" s="28"/>
      <c r="D114" s="28"/>
      <c r="E114" s="28"/>
      <c r="F114" s="28"/>
      <c r="G114" s="28"/>
      <c r="H114" s="28"/>
      <c r="I114" s="28"/>
      <c r="J114" s="45"/>
      <c r="K114" s="45"/>
      <c r="L114" s="214" t="s">
        <v>72</v>
      </c>
      <c r="M114" s="55"/>
      <c r="N114" s="55"/>
      <c r="O114" s="55"/>
      <c r="Q114" s="45"/>
      <c r="R114" s="45"/>
      <c r="S114" s="45"/>
      <c r="T114" s="53">
        <f t="shared" si="11"/>
        <v>3</v>
      </c>
      <c r="U114" s="55"/>
      <c r="V114" s="54"/>
      <c r="W114" s="55"/>
      <c r="X114" s="55"/>
      <c r="Y114" s="56">
        <v>2</v>
      </c>
    </row>
    <row r="115" spans="1:25" ht="28.5" customHeight="1">
      <c r="A115" s="31" t="s">
        <v>181</v>
      </c>
      <c r="B115" s="28"/>
      <c r="C115" s="28"/>
      <c r="D115" s="28"/>
      <c r="E115" s="28"/>
      <c r="F115" s="28"/>
      <c r="G115" s="28"/>
      <c r="H115" s="28"/>
      <c r="I115" s="28"/>
      <c r="J115" s="45"/>
      <c r="K115" s="45"/>
      <c r="L115" s="214" t="s">
        <v>72</v>
      </c>
      <c r="M115" s="55"/>
      <c r="N115" s="55"/>
      <c r="O115" s="55"/>
      <c r="Q115" s="45"/>
      <c r="R115" s="45"/>
      <c r="S115" s="45"/>
      <c r="T115" s="53">
        <f t="shared" si="11"/>
        <v>3</v>
      </c>
      <c r="U115" s="55"/>
      <c r="V115" s="54"/>
      <c r="W115" s="55"/>
      <c r="X115" s="55"/>
      <c r="Y115" s="56">
        <v>2</v>
      </c>
    </row>
    <row r="116" spans="1:25" ht="28.5" customHeight="1">
      <c r="A116" s="31" t="s">
        <v>182</v>
      </c>
      <c r="B116" s="28"/>
      <c r="C116" s="28"/>
      <c r="D116" s="28"/>
      <c r="E116" s="28"/>
      <c r="F116" s="28"/>
      <c r="G116" s="28"/>
      <c r="H116" s="28"/>
      <c r="I116" s="28"/>
      <c r="J116" s="45"/>
      <c r="K116" s="45"/>
      <c r="L116" s="214" t="s">
        <v>72</v>
      </c>
      <c r="M116" s="55"/>
      <c r="N116" s="55"/>
      <c r="O116" s="55"/>
      <c r="Q116" s="45"/>
      <c r="R116" s="45"/>
      <c r="S116" s="45"/>
      <c r="T116" s="53">
        <f t="shared" si="11"/>
        <v>3</v>
      </c>
      <c r="U116" s="55"/>
      <c r="V116" s="54"/>
      <c r="W116" s="55"/>
      <c r="X116" s="55"/>
      <c r="Y116" s="56">
        <v>2</v>
      </c>
    </row>
    <row r="117" spans="1:25" ht="28.5" customHeight="1">
      <c r="A117" s="31" t="s">
        <v>183</v>
      </c>
      <c r="B117" s="28"/>
      <c r="C117" s="28"/>
      <c r="D117" s="28"/>
      <c r="E117" s="28"/>
      <c r="F117" s="28"/>
      <c r="G117" s="28"/>
      <c r="H117" s="28"/>
      <c r="I117" s="28"/>
      <c r="J117" s="45"/>
      <c r="K117" s="45"/>
      <c r="L117" s="214" t="s">
        <v>72</v>
      </c>
      <c r="M117" s="55"/>
      <c r="N117" s="55"/>
      <c r="O117" s="55"/>
      <c r="Q117" s="45"/>
      <c r="R117" s="45"/>
      <c r="S117" s="45"/>
      <c r="T117" s="53">
        <f t="shared" si="11"/>
        <v>3</v>
      </c>
      <c r="U117" s="55"/>
      <c r="V117" s="54"/>
      <c r="W117" s="55"/>
      <c r="X117" s="55"/>
      <c r="Y117" s="56">
        <v>2</v>
      </c>
    </row>
    <row r="118" spans="1:25" ht="28.5" customHeight="1">
      <c r="A118" s="31" t="s">
        <v>184</v>
      </c>
      <c r="B118" s="28"/>
      <c r="C118" s="28"/>
      <c r="D118" s="28"/>
      <c r="E118" s="28"/>
      <c r="F118" s="28"/>
      <c r="G118" s="28"/>
      <c r="H118" s="28"/>
      <c r="I118" s="28"/>
      <c r="J118" s="45"/>
      <c r="K118" s="45"/>
      <c r="L118" s="214" t="s">
        <v>72</v>
      </c>
      <c r="M118" s="55"/>
      <c r="N118" s="55"/>
      <c r="O118" s="55"/>
      <c r="Q118" s="45"/>
      <c r="R118" s="45"/>
      <c r="S118" s="45"/>
      <c r="T118" s="53">
        <f t="shared" si="11"/>
        <v>3</v>
      </c>
      <c r="U118" s="55"/>
      <c r="V118" s="54"/>
      <c r="W118" s="55"/>
      <c r="X118" s="55"/>
      <c r="Y118" s="56">
        <v>2</v>
      </c>
    </row>
    <row r="119" spans="1:25" ht="28.5" customHeight="1">
      <c r="A119" s="31" t="s">
        <v>185</v>
      </c>
      <c r="B119" s="28"/>
      <c r="C119" s="28"/>
      <c r="D119" s="28"/>
      <c r="E119" s="28"/>
      <c r="F119" s="28"/>
      <c r="G119" s="28"/>
      <c r="H119" s="28"/>
      <c r="I119" s="28"/>
      <c r="J119" s="45"/>
      <c r="K119" s="45"/>
      <c r="L119" s="214" t="s">
        <v>72</v>
      </c>
      <c r="M119" s="55"/>
      <c r="N119" s="55"/>
      <c r="O119" s="55"/>
      <c r="Q119" s="45"/>
      <c r="R119" s="45"/>
      <c r="S119" s="45"/>
      <c r="T119" s="53">
        <f t="shared" si="11"/>
        <v>3</v>
      </c>
      <c r="U119" s="55"/>
      <c r="V119" s="54"/>
      <c r="W119" s="55"/>
      <c r="X119" s="55"/>
      <c r="Y119" s="56">
        <v>2</v>
      </c>
    </row>
    <row r="120" spans="1:25" ht="28.5" customHeight="1">
      <c r="A120" s="31" t="s">
        <v>186</v>
      </c>
      <c r="B120" s="28"/>
      <c r="C120" s="28"/>
      <c r="D120" s="28"/>
      <c r="E120" s="28"/>
      <c r="F120" s="28"/>
      <c r="G120" s="28"/>
      <c r="H120" s="28"/>
      <c r="I120" s="28"/>
      <c r="J120" s="45"/>
      <c r="K120" s="45"/>
      <c r="L120" s="214" t="s">
        <v>72</v>
      </c>
      <c r="M120" s="55"/>
      <c r="N120" s="55"/>
      <c r="O120" s="55"/>
      <c r="Q120" s="45"/>
      <c r="R120" s="45"/>
      <c r="S120" s="45"/>
      <c r="T120" s="53">
        <f t="shared" si="11"/>
        <v>3</v>
      </c>
      <c r="U120" s="55"/>
      <c r="V120" s="54"/>
      <c r="W120" s="55"/>
      <c r="X120" s="55"/>
      <c r="Y120" s="56">
        <v>2</v>
      </c>
    </row>
    <row r="121" spans="1:25" ht="28.5" customHeight="1">
      <c r="A121" s="31" t="s">
        <v>187</v>
      </c>
      <c r="B121" s="28"/>
      <c r="C121" s="28"/>
      <c r="D121" s="28"/>
      <c r="E121" s="28"/>
      <c r="F121" s="28"/>
      <c r="G121" s="28"/>
      <c r="H121" s="28"/>
      <c r="I121" s="28"/>
      <c r="J121" s="45"/>
      <c r="K121" s="45"/>
      <c r="L121" s="214" t="s">
        <v>72</v>
      </c>
      <c r="M121" s="55"/>
      <c r="N121" s="55"/>
      <c r="O121" s="55"/>
      <c r="Q121" s="45"/>
      <c r="R121" s="45"/>
      <c r="S121" s="45"/>
      <c r="T121" s="53">
        <f t="shared" si="11"/>
        <v>3</v>
      </c>
      <c r="U121" s="55"/>
      <c r="V121" s="54"/>
      <c r="W121" s="55"/>
      <c r="X121" s="55"/>
      <c r="Y121" s="56">
        <v>2</v>
      </c>
    </row>
    <row r="122" spans="1:25" ht="28.5" customHeight="1">
      <c r="A122" s="31" t="s">
        <v>188</v>
      </c>
      <c r="B122" s="28"/>
      <c r="C122" s="28"/>
      <c r="D122" s="28"/>
      <c r="E122" s="28"/>
      <c r="F122" s="28"/>
      <c r="G122" s="28"/>
      <c r="H122" s="28"/>
      <c r="I122" s="28"/>
      <c r="J122" s="45"/>
      <c r="K122" s="45"/>
      <c r="L122" s="214" t="s">
        <v>72</v>
      </c>
      <c r="M122" s="55"/>
      <c r="N122" s="55"/>
      <c r="O122" s="55"/>
      <c r="Q122" s="45"/>
      <c r="R122" s="45"/>
      <c r="S122" s="45"/>
      <c r="T122" s="53">
        <f t="shared" si="11"/>
        <v>3</v>
      </c>
      <c r="U122" s="55"/>
      <c r="V122" s="54"/>
      <c r="W122" s="55"/>
      <c r="X122" s="55"/>
      <c r="Y122" s="56">
        <v>2</v>
      </c>
    </row>
    <row r="123" spans="1:25" ht="28.5" customHeight="1">
      <c r="A123" s="31" t="s">
        <v>189</v>
      </c>
      <c r="B123" s="28"/>
      <c r="C123" s="28"/>
      <c r="D123" s="28"/>
      <c r="E123" s="28"/>
      <c r="F123" s="28"/>
      <c r="G123" s="28"/>
      <c r="H123" s="28"/>
      <c r="I123" s="28"/>
      <c r="J123" s="45"/>
      <c r="K123" s="45"/>
      <c r="L123" s="214" t="s">
        <v>72</v>
      </c>
      <c r="M123" s="55"/>
      <c r="N123" s="55"/>
      <c r="O123" s="55"/>
      <c r="Q123" s="45"/>
      <c r="R123" s="45"/>
      <c r="S123" s="45"/>
      <c r="T123" s="53">
        <f t="shared" si="11"/>
        <v>3</v>
      </c>
      <c r="U123" s="55"/>
      <c r="V123" s="54"/>
      <c r="W123" s="55"/>
      <c r="X123" s="55"/>
      <c r="Y123" s="56">
        <v>2</v>
      </c>
    </row>
    <row r="124" spans="1:25" ht="28.5" customHeight="1">
      <c r="A124" s="31" t="s">
        <v>190</v>
      </c>
      <c r="B124" s="28"/>
      <c r="C124" s="28"/>
      <c r="D124" s="28"/>
      <c r="E124" s="28"/>
      <c r="F124" s="28"/>
      <c r="G124" s="28"/>
      <c r="H124" s="28"/>
      <c r="I124" s="28"/>
      <c r="J124" s="45"/>
      <c r="K124" s="45"/>
      <c r="L124" s="214" t="s">
        <v>72</v>
      </c>
      <c r="M124" s="55"/>
      <c r="N124" s="55"/>
      <c r="O124" s="55"/>
      <c r="Q124" s="45"/>
      <c r="R124" s="45"/>
      <c r="S124" s="45"/>
      <c r="T124" s="53">
        <f t="shared" si="11"/>
        <v>3</v>
      </c>
      <c r="U124" s="55"/>
      <c r="V124" s="54"/>
      <c r="W124" s="55"/>
      <c r="X124" s="55"/>
      <c r="Y124" s="56">
        <v>2</v>
      </c>
    </row>
    <row r="125" spans="1:25" ht="28.5" customHeight="1">
      <c r="A125" s="31" t="s">
        <v>191</v>
      </c>
      <c r="B125" s="28"/>
      <c r="C125" s="28"/>
      <c r="D125" s="28"/>
      <c r="E125" s="28"/>
      <c r="F125" s="28"/>
      <c r="G125" s="28"/>
      <c r="H125" s="28"/>
      <c r="I125" s="28"/>
      <c r="J125" s="45"/>
      <c r="K125" s="45"/>
      <c r="L125" s="214" t="s">
        <v>72</v>
      </c>
      <c r="M125" s="55"/>
      <c r="N125" s="55"/>
      <c r="O125" s="55"/>
      <c r="Q125" s="45"/>
      <c r="R125" s="45"/>
      <c r="S125" s="45"/>
      <c r="T125" s="53">
        <f t="shared" si="11"/>
        <v>3</v>
      </c>
      <c r="U125" s="55"/>
      <c r="V125" s="54"/>
      <c r="W125" s="55"/>
      <c r="X125" s="55"/>
      <c r="Y125" s="56">
        <v>2</v>
      </c>
    </row>
    <row r="126" spans="1:25" ht="28.5" customHeight="1">
      <c r="A126" s="31" t="s">
        <v>192</v>
      </c>
      <c r="B126" s="28"/>
      <c r="C126" s="28"/>
      <c r="D126" s="28"/>
      <c r="E126" s="28"/>
      <c r="F126" s="28"/>
      <c r="G126" s="28"/>
      <c r="H126" s="28"/>
      <c r="I126" s="28"/>
      <c r="J126" s="45"/>
      <c r="K126" s="45"/>
      <c r="L126" s="214" t="s">
        <v>72</v>
      </c>
      <c r="M126" s="55"/>
      <c r="N126" s="55"/>
      <c r="O126" s="55"/>
      <c r="Q126" s="45"/>
      <c r="R126" s="45"/>
      <c r="S126" s="45"/>
      <c r="T126" s="53">
        <f t="shared" si="11"/>
        <v>3</v>
      </c>
      <c r="U126" s="55"/>
      <c r="V126" s="54"/>
      <c r="W126" s="55"/>
      <c r="X126" s="55"/>
      <c r="Y126" s="56">
        <v>2</v>
      </c>
    </row>
    <row r="127" spans="1:25" ht="28.5" customHeight="1">
      <c r="A127" s="31" t="s">
        <v>193</v>
      </c>
      <c r="B127" s="28"/>
      <c r="C127" s="28"/>
      <c r="D127" s="28"/>
      <c r="E127" s="28"/>
      <c r="F127" s="28"/>
      <c r="G127" s="28"/>
      <c r="H127" s="28"/>
      <c r="I127" s="28"/>
      <c r="J127" s="45"/>
      <c r="K127" s="45"/>
      <c r="L127" s="214" t="s">
        <v>72</v>
      </c>
      <c r="M127" s="55"/>
      <c r="N127" s="55"/>
      <c r="O127" s="55"/>
      <c r="Q127" s="45"/>
      <c r="R127" s="45"/>
      <c r="S127" s="45"/>
      <c r="T127" s="53">
        <f t="shared" si="11"/>
        <v>3</v>
      </c>
      <c r="U127" s="55"/>
      <c r="V127" s="54"/>
      <c r="W127" s="55"/>
      <c r="X127" s="55"/>
      <c r="Y127" s="56">
        <v>2</v>
      </c>
    </row>
    <row r="128" spans="1:25" ht="28.5" customHeight="1">
      <c r="A128" s="31" t="s">
        <v>194</v>
      </c>
      <c r="B128" s="28"/>
      <c r="C128" s="28"/>
      <c r="D128" s="28"/>
      <c r="E128" s="28"/>
      <c r="F128" s="28"/>
      <c r="G128" s="28"/>
      <c r="H128" s="28"/>
      <c r="I128" s="28"/>
      <c r="J128" s="45"/>
      <c r="K128" s="45"/>
      <c r="L128" s="214" t="s">
        <v>72</v>
      </c>
      <c r="M128" s="55"/>
      <c r="N128" s="55"/>
      <c r="O128" s="55"/>
      <c r="Q128" s="45"/>
      <c r="R128" s="45"/>
      <c r="S128" s="45"/>
      <c r="T128" s="53">
        <f t="shared" si="11"/>
        <v>3</v>
      </c>
      <c r="U128" s="55"/>
      <c r="V128" s="54"/>
      <c r="W128" s="55"/>
      <c r="X128" s="55"/>
      <c r="Y128" s="56">
        <v>2</v>
      </c>
    </row>
    <row r="129" spans="1:25" ht="28.5" customHeight="1">
      <c r="A129" s="31" t="s">
        <v>195</v>
      </c>
      <c r="B129" s="28"/>
      <c r="C129" s="28"/>
      <c r="D129" s="28"/>
      <c r="E129" s="28"/>
      <c r="F129" s="28"/>
      <c r="G129" s="28"/>
      <c r="H129" s="28"/>
      <c r="I129" s="28"/>
      <c r="J129" s="45"/>
      <c r="K129" s="45"/>
      <c r="L129" s="214" t="s">
        <v>72</v>
      </c>
      <c r="M129" s="55"/>
      <c r="N129" s="55"/>
      <c r="O129" s="55"/>
      <c r="Q129" s="45"/>
      <c r="R129" s="45"/>
      <c r="S129" s="45"/>
      <c r="T129" s="53">
        <f t="shared" si="11"/>
        <v>3</v>
      </c>
      <c r="U129" s="55"/>
      <c r="V129" s="54"/>
      <c r="W129" s="55"/>
      <c r="X129" s="55"/>
      <c r="Y129" s="56">
        <v>2</v>
      </c>
    </row>
    <row r="130" spans="1:25" ht="28.5" customHeight="1">
      <c r="A130" s="31" t="s">
        <v>196</v>
      </c>
      <c r="B130" s="28"/>
      <c r="C130" s="28"/>
      <c r="D130" s="28"/>
      <c r="E130" s="28"/>
      <c r="F130" s="28"/>
      <c r="G130" s="28"/>
      <c r="H130" s="28"/>
      <c r="I130" s="28"/>
      <c r="J130" s="45"/>
      <c r="K130" s="45"/>
      <c r="L130" s="214" t="s">
        <v>72</v>
      </c>
      <c r="M130" s="55"/>
      <c r="N130" s="55"/>
      <c r="O130" s="55"/>
      <c r="Q130" s="45"/>
      <c r="R130" s="45"/>
      <c r="S130" s="45"/>
      <c r="T130" s="53">
        <f t="shared" si="11"/>
        <v>3</v>
      </c>
      <c r="U130" s="55"/>
      <c r="V130" s="54"/>
      <c r="W130" s="55"/>
      <c r="X130" s="55"/>
      <c r="Y130" s="56">
        <v>2</v>
      </c>
    </row>
    <row r="131" spans="1:25" ht="28.5" customHeight="1">
      <c r="A131" s="31" t="s">
        <v>197</v>
      </c>
      <c r="B131" s="28"/>
      <c r="C131" s="28"/>
      <c r="D131" s="28"/>
      <c r="E131" s="28"/>
      <c r="F131" s="28"/>
      <c r="G131" s="28"/>
      <c r="H131" s="28"/>
      <c r="I131" s="28"/>
      <c r="J131" s="45"/>
      <c r="K131" s="45"/>
      <c r="L131" s="214" t="s">
        <v>72</v>
      </c>
      <c r="M131" s="55"/>
      <c r="N131" s="55"/>
      <c r="O131" s="55"/>
      <c r="Q131" s="45"/>
      <c r="R131" s="45"/>
      <c r="S131" s="45"/>
      <c r="T131" s="53">
        <f t="shared" si="11"/>
        <v>3</v>
      </c>
      <c r="U131" s="55"/>
      <c r="V131" s="54"/>
      <c r="W131" s="55"/>
      <c r="X131" s="55"/>
      <c r="Y131" s="56">
        <v>2</v>
      </c>
    </row>
    <row r="132" spans="1:25" ht="28.5" customHeight="1">
      <c r="A132" s="31" t="s">
        <v>198</v>
      </c>
      <c r="B132" s="28"/>
      <c r="C132" s="28"/>
      <c r="D132" s="28"/>
      <c r="E132" s="28"/>
      <c r="F132" s="28"/>
      <c r="G132" s="28"/>
      <c r="H132" s="28"/>
      <c r="I132" s="28"/>
      <c r="J132" s="45"/>
      <c r="K132" s="45"/>
      <c r="L132" s="214" t="s">
        <v>72</v>
      </c>
      <c r="M132" s="55"/>
      <c r="N132" s="55"/>
      <c r="O132" s="55"/>
      <c r="Q132" s="45"/>
      <c r="R132" s="45"/>
      <c r="S132" s="45"/>
      <c r="T132" s="53">
        <f t="shared" si="11"/>
        <v>3</v>
      </c>
      <c r="U132" s="55"/>
      <c r="V132" s="54"/>
      <c r="W132" s="55"/>
      <c r="X132" s="55"/>
      <c r="Y132" s="56">
        <v>2</v>
      </c>
    </row>
    <row r="133" spans="1:25" ht="28.5" customHeight="1">
      <c r="A133" s="31" t="s">
        <v>199</v>
      </c>
      <c r="B133" s="28"/>
      <c r="C133" s="28"/>
      <c r="D133" s="28"/>
      <c r="E133" s="28"/>
      <c r="F133" s="28"/>
      <c r="G133" s="28"/>
      <c r="H133" s="28"/>
      <c r="I133" s="28"/>
      <c r="J133" s="45"/>
      <c r="K133" s="45"/>
      <c r="L133" s="214" t="s">
        <v>72</v>
      </c>
      <c r="M133" s="55"/>
      <c r="N133" s="55"/>
      <c r="O133" s="55"/>
      <c r="Q133" s="45"/>
      <c r="R133" s="45"/>
      <c r="S133" s="45"/>
      <c r="T133" s="53">
        <f t="shared" si="11"/>
        <v>3</v>
      </c>
      <c r="U133" s="55"/>
      <c r="V133" s="54"/>
      <c r="W133" s="55"/>
      <c r="X133" s="55"/>
      <c r="Y133" s="56">
        <v>2</v>
      </c>
    </row>
    <row r="134" spans="1:25" ht="28.5" customHeight="1">
      <c r="A134" s="31" t="s">
        <v>200</v>
      </c>
      <c r="B134" s="28"/>
      <c r="C134" s="28"/>
      <c r="D134" s="28"/>
      <c r="E134" s="28"/>
      <c r="F134" s="28"/>
      <c r="G134" s="28"/>
      <c r="H134" s="28"/>
      <c r="I134" s="28"/>
      <c r="J134" s="45"/>
      <c r="K134" s="45"/>
      <c r="L134" s="214" t="s">
        <v>72</v>
      </c>
      <c r="M134" s="55"/>
      <c r="N134" s="55"/>
      <c r="O134" s="55"/>
      <c r="Q134" s="45"/>
      <c r="R134" s="45"/>
      <c r="S134" s="45"/>
      <c r="T134" s="53">
        <f t="shared" si="11"/>
        <v>3</v>
      </c>
      <c r="U134" s="55"/>
      <c r="V134" s="54"/>
      <c r="W134" s="55"/>
      <c r="X134" s="55"/>
      <c r="Y134" s="56">
        <v>2</v>
      </c>
    </row>
    <row r="135" spans="1:25" ht="28.5" customHeight="1">
      <c r="A135" s="31" t="s">
        <v>201</v>
      </c>
      <c r="B135" s="28"/>
      <c r="C135" s="28"/>
      <c r="D135" s="28"/>
      <c r="E135" s="28"/>
      <c r="F135" s="28"/>
      <c r="G135" s="28"/>
      <c r="H135" s="28"/>
      <c r="I135" s="28"/>
      <c r="J135" s="45"/>
      <c r="K135" s="45"/>
      <c r="L135" s="214" t="s">
        <v>56</v>
      </c>
      <c r="M135" s="55"/>
      <c r="N135" s="55"/>
      <c r="O135" s="55"/>
      <c r="Q135" s="45"/>
      <c r="R135" s="45"/>
      <c r="S135" s="45"/>
      <c r="T135" s="53">
        <f t="shared" si="11"/>
        <v>3</v>
      </c>
      <c r="U135" s="55"/>
      <c r="V135" s="54"/>
      <c r="W135" s="55"/>
      <c r="X135" s="55"/>
      <c r="Y135" s="56">
        <v>3</v>
      </c>
    </row>
    <row r="136" spans="1:25" ht="28.5" customHeight="1">
      <c r="A136" s="31" t="s">
        <v>202</v>
      </c>
      <c r="B136" s="28"/>
      <c r="C136" s="28"/>
      <c r="D136" s="28"/>
      <c r="E136" s="28"/>
      <c r="F136" s="28"/>
      <c r="G136" s="28"/>
      <c r="H136" s="28"/>
      <c r="I136" s="28"/>
      <c r="J136" s="45"/>
      <c r="K136" s="45"/>
      <c r="L136" s="214" t="s">
        <v>56</v>
      </c>
      <c r="M136" s="55"/>
      <c r="N136" s="55"/>
      <c r="O136" s="55"/>
      <c r="Q136" s="45"/>
      <c r="R136" s="45"/>
      <c r="S136" s="45"/>
      <c r="T136" s="53">
        <f t="shared" si="11"/>
        <v>3</v>
      </c>
      <c r="U136" s="55"/>
      <c r="V136" s="54"/>
      <c r="W136" s="55"/>
      <c r="X136" s="55"/>
      <c r="Y136" s="56">
        <v>3</v>
      </c>
    </row>
    <row r="137" spans="1:25" ht="28.5" customHeight="1">
      <c r="A137" s="31" t="s">
        <v>203</v>
      </c>
      <c r="B137" s="28"/>
      <c r="C137" s="28"/>
      <c r="D137" s="28"/>
      <c r="E137" s="28"/>
      <c r="F137" s="28"/>
      <c r="G137" s="28"/>
      <c r="H137" s="28"/>
      <c r="I137" s="28"/>
      <c r="J137" s="45"/>
      <c r="K137" s="45"/>
      <c r="L137" s="214" t="s">
        <v>56</v>
      </c>
      <c r="M137" s="55"/>
      <c r="N137" s="55"/>
      <c r="O137" s="55"/>
      <c r="Q137" s="45"/>
      <c r="R137" s="45"/>
      <c r="S137" s="45"/>
      <c r="T137" s="53">
        <f t="shared" si="11"/>
        <v>3</v>
      </c>
      <c r="U137" s="55"/>
      <c r="V137" s="54"/>
      <c r="W137" s="55"/>
      <c r="X137" s="55"/>
      <c r="Y137" s="56">
        <v>3</v>
      </c>
    </row>
    <row r="138" spans="1:25" ht="28.5" customHeight="1">
      <c r="A138" s="31" t="s">
        <v>204</v>
      </c>
      <c r="B138" s="28"/>
      <c r="C138" s="28"/>
      <c r="D138" s="28"/>
      <c r="E138" s="28"/>
      <c r="F138" s="28"/>
      <c r="G138" s="28"/>
      <c r="H138" s="28"/>
      <c r="I138" s="28"/>
      <c r="J138" s="45"/>
      <c r="K138" s="45"/>
      <c r="L138" s="214" t="s">
        <v>56</v>
      </c>
      <c r="M138" s="55"/>
      <c r="N138" s="55"/>
      <c r="O138" s="55"/>
      <c r="Q138" s="45"/>
      <c r="R138" s="45"/>
      <c r="S138" s="45"/>
      <c r="T138" s="53">
        <f t="shared" si="11"/>
        <v>3</v>
      </c>
      <c r="U138" s="55"/>
      <c r="V138" s="54"/>
      <c r="W138" s="55"/>
      <c r="X138" s="55"/>
      <c r="Y138" s="56">
        <v>3</v>
      </c>
    </row>
    <row r="139" spans="1:25" ht="28.5" customHeight="1">
      <c r="A139" s="31" t="s">
        <v>205</v>
      </c>
      <c r="B139" s="28"/>
      <c r="C139" s="28"/>
      <c r="D139" s="28"/>
      <c r="E139" s="28"/>
      <c r="F139" s="28"/>
      <c r="G139" s="28"/>
      <c r="H139" s="28"/>
      <c r="I139" s="28"/>
      <c r="J139" s="45"/>
      <c r="K139" s="45"/>
      <c r="L139" s="214" t="s">
        <v>56</v>
      </c>
      <c r="M139" s="55"/>
      <c r="N139" s="55"/>
      <c r="O139" s="55"/>
      <c r="Q139" s="45"/>
      <c r="R139" s="45"/>
      <c r="S139" s="45"/>
      <c r="T139" s="53">
        <f t="shared" si="11"/>
        <v>3</v>
      </c>
      <c r="U139" s="55"/>
      <c r="V139" s="54"/>
      <c r="W139" s="55"/>
      <c r="X139" s="55"/>
      <c r="Y139" s="56">
        <v>3</v>
      </c>
    </row>
    <row r="140" spans="1:25" ht="28.5" customHeight="1">
      <c r="A140" s="31" t="s">
        <v>206</v>
      </c>
      <c r="B140" s="28"/>
      <c r="C140" s="28"/>
      <c r="D140" s="28"/>
      <c r="E140" s="28"/>
      <c r="F140" s="28"/>
      <c r="G140" s="28"/>
      <c r="H140" s="28"/>
      <c r="I140" s="28"/>
      <c r="J140" s="45"/>
      <c r="K140" s="45"/>
      <c r="L140" s="214" t="s">
        <v>56</v>
      </c>
      <c r="M140" s="55"/>
      <c r="N140" s="55"/>
      <c r="O140" s="55"/>
      <c r="Q140" s="45"/>
      <c r="R140" s="45"/>
      <c r="S140" s="45"/>
      <c r="T140" s="53">
        <f t="shared" ref="T140:T172" si="12">IF(OR(L140="A",L140="BBB"),1,IF(OR(L140="BB",L140="B"),2,IF(OR(L140="CCC",L140="CC"),3,K$1)))</f>
        <v>3</v>
      </c>
      <c r="U140" s="55"/>
      <c r="V140" s="54"/>
      <c r="W140" s="55"/>
      <c r="X140" s="55"/>
      <c r="Y140" s="56">
        <v>3</v>
      </c>
    </row>
    <row r="141" spans="1:25" ht="28.5" customHeight="1">
      <c r="A141" s="31" t="s">
        <v>207</v>
      </c>
      <c r="B141" s="28"/>
      <c r="C141" s="28"/>
      <c r="D141" s="28"/>
      <c r="E141" s="28"/>
      <c r="F141" s="28"/>
      <c r="G141" s="28"/>
      <c r="H141" s="28"/>
      <c r="I141" s="28"/>
      <c r="J141" s="45"/>
      <c r="K141" s="45"/>
      <c r="L141" s="214" t="s">
        <v>56</v>
      </c>
      <c r="M141" s="55"/>
      <c r="N141" s="55"/>
      <c r="O141" s="55"/>
      <c r="Q141" s="45"/>
      <c r="R141" s="45"/>
      <c r="S141" s="45"/>
      <c r="T141" s="53">
        <f t="shared" si="12"/>
        <v>3</v>
      </c>
      <c r="U141" s="55"/>
      <c r="V141" s="54"/>
      <c r="W141" s="55"/>
      <c r="X141" s="55"/>
      <c r="Y141" s="56">
        <v>3</v>
      </c>
    </row>
    <row r="142" spans="1:25" ht="28.5" customHeight="1">
      <c r="A142" s="31" t="s">
        <v>208</v>
      </c>
      <c r="B142" s="28"/>
      <c r="C142" s="28"/>
      <c r="D142" s="28"/>
      <c r="E142" s="28"/>
      <c r="F142" s="28"/>
      <c r="G142" s="28"/>
      <c r="H142" s="28"/>
      <c r="I142" s="28"/>
      <c r="J142" s="45"/>
      <c r="K142" s="45"/>
      <c r="L142" s="214" t="s">
        <v>56</v>
      </c>
      <c r="M142" s="55"/>
      <c r="N142" s="55"/>
      <c r="O142" s="55"/>
      <c r="Q142" s="45"/>
      <c r="R142" s="45"/>
      <c r="S142" s="45"/>
      <c r="T142" s="53">
        <f t="shared" si="12"/>
        <v>3</v>
      </c>
      <c r="U142" s="55"/>
      <c r="V142" s="54"/>
      <c r="W142" s="55"/>
      <c r="X142" s="55"/>
      <c r="Y142" s="56">
        <v>3</v>
      </c>
    </row>
    <row r="143" spans="1:25" ht="28.5" customHeight="1">
      <c r="A143" s="31" t="s">
        <v>209</v>
      </c>
      <c r="B143" s="28"/>
      <c r="C143" s="28"/>
      <c r="D143" s="28"/>
      <c r="E143" s="28"/>
      <c r="F143" s="28"/>
      <c r="G143" s="28"/>
      <c r="H143" s="28"/>
      <c r="I143" s="28"/>
      <c r="J143" s="45"/>
      <c r="K143" s="45"/>
      <c r="L143" s="214" t="s">
        <v>56</v>
      </c>
      <c r="M143" s="55"/>
      <c r="N143" s="55"/>
      <c r="O143" s="55"/>
      <c r="Q143" s="45"/>
      <c r="R143" s="45"/>
      <c r="S143" s="45"/>
      <c r="T143" s="53">
        <f t="shared" si="12"/>
        <v>3</v>
      </c>
      <c r="U143" s="55"/>
      <c r="V143" s="54"/>
      <c r="W143" s="55"/>
      <c r="X143" s="55"/>
      <c r="Y143" s="56">
        <v>3</v>
      </c>
    </row>
    <row r="144" spans="1:25" ht="28.5" customHeight="1">
      <c r="A144" s="31" t="s">
        <v>210</v>
      </c>
      <c r="B144" s="28"/>
      <c r="C144" s="28"/>
      <c r="D144" s="28"/>
      <c r="E144" s="28"/>
      <c r="F144" s="28"/>
      <c r="G144" s="28"/>
      <c r="H144" s="28"/>
      <c r="I144" s="28"/>
      <c r="J144" s="45"/>
      <c r="K144" s="45"/>
      <c r="L144" s="214" t="s">
        <v>56</v>
      </c>
      <c r="M144" s="55"/>
      <c r="N144" s="55"/>
      <c r="O144" s="55"/>
      <c r="Q144" s="45"/>
      <c r="R144" s="45"/>
      <c r="S144" s="45"/>
      <c r="T144" s="53">
        <f t="shared" si="12"/>
        <v>3</v>
      </c>
      <c r="U144" s="55"/>
      <c r="V144" s="54"/>
      <c r="W144" s="55"/>
      <c r="X144" s="55"/>
      <c r="Y144" s="56">
        <v>3</v>
      </c>
    </row>
    <row r="145" spans="1:26" ht="28.5" customHeight="1">
      <c r="A145" s="31" t="s">
        <v>211</v>
      </c>
      <c r="B145" s="28"/>
      <c r="C145" s="28"/>
      <c r="D145" s="28"/>
      <c r="E145" s="28"/>
      <c r="F145" s="28"/>
      <c r="G145" s="28"/>
      <c r="H145" s="28"/>
      <c r="I145" s="28"/>
      <c r="J145" s="45"/>
      <c r="K145" s="45"/>
      <c r="L145" s="214" t="s">
        <v>56</v>
      </c>
      <c r="M145" s="55"/>
      <c r="N145" s="55"/>
      <c r="O145" s="55"/>
      <c r="Q145" s="45"/>
      <c r="R145" s="45"/>
      <c r="S145" s="45"/>
      <c r="T145" s="53">
        <f t="shared" si="12"/>
        <v>3</v>
      </c>
      <c r="U145" s="55"/>
      <c r="V145" s="54"/>
      <c r="W145" s="55"/>
      <c r="X145" s="55"/>
      <c r="Y145" s="56">
        <v>3</v>
      </c>
    </row>
    <row r="146" spans="1:26" ht="28.5" customHeight="1">
      <c r="A146" s="31" t="s">
        <v>212</v>
      </c>
      <c r="B146" s="28"/>
      <c r="C146" s="28"/>
      <c r="D146" s="28"/>
      <c r="E146" s="28"/>
      <c r="F146" s="28"/>
      <c r="G146" s="28"/>
      <c r="H146" s="28"/>
      <c r="I146" s="28"/>
      <c r="J146" s="45"/>
      <c r="K146" s="45"/>
      <c r="L146" s="214" t="s">
        <v>56</v>
      </c>
      <c r="M146" s="55"/>
      <c r="N146" s="55"/>
      <c r="O146" s="55"/>
      <c r="P146" s="28"/>
      <c r="Q146" s="45"/>
      <c r="R146" s="45"/>
      <c r="S146" s="45"/>
      <c r="T146" s="53">
        <f t="shared" si="12"/>
        <v>3</v>
      </c>
      <c r="U146" s="55"/>
      <c r="V146" s="54"/>
      <c r="W146" s="55"/>
      <c r="X146" s="55"/>
      <c r="Y146" s="56">
        <v>3</v>
      </c>
      <c r="Z146" s="28"/>
    </row>
    <row r="147" spans="1:26" ht="28.5" customHeight="1">
      <c r="A147" s="31" t="s">
        <v>213</v>
      </c>
      <c r="B147" s="28"/>
      <c r="C147" s="28"/>
      <c r="D147" s="28"/>
      <c r="E147" s="28"/>
      <c r="F147" s="28"/>
      <c r="G147" s="28"/>
      <c r="H147" s="28"/>
      <c r="I147" s="28"/>
      <c r="J147" s="45"/>
      <c r="K147" s="45"/>
      <c r="L147" s="214" t="s">
        <v>56</v>
      </c>
      <c r="M147" s="55"/>
      <c r="N147" s="55"/>
      <c r="O147" s="55"/>
      <c r="P147" s="28"/>
      <c r="Q147" s="45"/>
      <c r="R147" s="45"/>
      <c r="S147" s="45"/>
      <c r="T147" s="53">
        <f t="shared" si="12"/>
        <v>3</v>
      </c>
      <c r="U147" s="55"/>
      <c r="V147" s="54"/>
      <c r="W147" s="55"/>
      <c r="X147" s="55"/>
      <c r="Y147" s="56">
        <v>3</v>
      </c>
      <c r="Z147" s="28"/>
    </row>
    <row r="148" spans="1:26" ht="28.5" customHeight="1">
      <c r="A148" s="31" t="s">
        <v>214</v>
      </c>
      <c r="B148" s="28"/>
      <c r="C148" s="28"/>
      <c r="D148" s="28"/>
      <c r="E148" s="28"/>
      <c r="F148" s="28"/>
      <c r="G148" s="28"/>
      <c r="H148" s="28"/>
      <c r="I148" s="28"/>
      <c r="J148" s="45"/>
      <c r="K148" s="45"/>
      <c r="L148" s="214" t="s">
        <v>56</v>
      </c>
      <c r="M148" s="55"/>
      <c r="N148" s="55"/>
      <c r="O148" s="55"/>
      <c r="P148" s="28"/>
      <c r="Q148" s="45"/>
      <c r="R148" s="45"/>
      <c r="S148" s="45"/>
      <c r="T148" s="53">
        <f t="shared" si="12"/>
        <v>3</v>
      </c>
      <c r="U148" s="55"/>
      <c r="V148" s="54"/>
      <c r="W148" s="55"/>
      <c r="X148" s="55"/>
      <c r="Y148" s="56">
        <v>3</v>
      </c>
      <c r="Z148" s="28"/>
    </row>
    <row r="149" spans="1:26" ht="28.5" customHeight="1">
      <c r="A149" s="31" t="s">
        <v>215</v>
      </c>
      <c r="B149" s="28"/>
      <c r="C149" s="28"/>
      <c r="D149" s="28"/>
      <c r="E149" s="28"/>
      <c r="F149" s="28"/>
      <c r="G149" s="28"/>
      <c r="H149" s="28"/>
      <c r="I149" s="28"/>
      <c r="J149" s="45"/>
      <c r="K149" s="45"/>
      <c r="L149" s="214" t="s">
        <v>56</v>
      </c>
      <c r="M149" s="55"/>
      <c r="N149" s="55"/>
      <c r="O149" s="55"/>
      <c r="P149" s="28"/>
      <c r="Q149" s="45"/>
      <c r="R149" s="45"/>
      <c r="S149" s="45"/>
      <c r="T149" s="53">
        <f t="shared" si="12"/>
        <v>3</v>
      </c>
      <c r="U149" s="55"/>
      <c r="V149" s="54"/>
      <c r="W149" s="55"/>
      <c r="X149" s="55"/>
      <c r="Y149" s="56">
        <v>3</v>
      </c>
      <c r="Z149" s="28"/>
    </row>
    <row r="150" spans="1:26" ht="28.5" customHeight="1">
      <c r="A150" s="31" t="s">
        <v>216</v>
      </c>
      <c r="B150" s="28"/>
      <c r="C150" s="28"/>
      <c r="D150" s="28"/>
      <c r="E150" s="28"/>
      <c r="F150" s="28"/>
      <c r="G150" s="28"/>
      <c r="H150" s="28"/>
      <c r="I150" s="28"/>
      <c r="J150" s="45"/>
      <c r="K150" s="45"/>
      <c r="L150" s="214" t="s">
        <v>56</v>
      </c>
      <c r="M150" s="55"/>
      <c r="N150" s="55"/>
      <c r="O150" s="55"/>
      <c r="P150" s="28"/>
      <c r="Q150" s="45"/>
      <c r="R150" s="45"/>
      <c r="S150" s="45"/>
      <c r="T150" s="53">
        <f t="shared" si="12"/>
        <v>3</v>
      </c>
      <c r="U150" s="55"/>
      <c r="V150" s="54"/>
      <c r="W150" s="55"/>
      <c r="X150" s="55"/>
      <c r="Y150" s="56">
        <v>3</v>
      </c>
      <c r="Z150" s="28"/>
    </row>
    <row r="151" spans="1:26" ht="28.5" customHeight="1">
      <c r="A151" s="31" t="s">
        <v>217</v>
      </c>
      <c r="B151" s="28"/>
      <c r="C151" s="28"/>
      <c r="D151" s="28"/>
      <c r="E151" s="28"/>
      <c r="F151" s="28"/>
      <c r="G151" s="28"/>
      <c r="H151" s="28"/>
      <c r="I151" s="28"/>
      <c r="J151" s="45"/>
      <c r="K151" s="45"/>
      <c r="L151" s="214" t="s">
        <v>56</v>
      </c>
      <c r="M151" s="55"/>
      <c r="N151" s="55"/>
      <c r="O151" s="55"/>
      <c r="P151" s="28"/>
      <c r="Q151" s="45"/>
      <c r="R151" s="45"/>
      <c r="S151" s="45"/>
      <c r="T151" s="53">
        <f t="shared" si="12"/>
        <v>3</v>
      </c>
      <c r="U151" s="55"/>
      <c r="V151" s="54"/>
      <c r="W151" s="55"/>
      <c r="X151" s="55"/>
      <c r="Y151" s="56">
        <v>3</v>
      </c>
      <c r="Z151" s="28"/>
    </row>
    <row r="152" spans="1:26" ht="28.5" customHeight="1">
      <c r="A152" s="31" t="s">
        <v>218</v>
      </c>
      <c r="B152" s="28"/>
      <c r="C152" s="28"/>
      <c r="D152" s="28"/>
      <c r="E152" s="28"/>
      <c r="F152" s="28"/>
      <c r="G152" s="28"/>
      <c r="H152" s="28"/>
      <c r="I152" s="28"/>
      <c r="J152" s="45"/>
      <c r="K152" s="45"/>
      <c r="L152" s="214" t="s">
        <v>56</v>
      </c>
      <c r="M152" s="55"/>
      <c r="N152" s="55"/>
      <c r="O152" s="55"/>
      <c r="P152" s="28"/>
      <c r="Q152" s="45"/>
      <c r="R152" s="45"/>
      <c r="S152" s="45"/>
      <c r="T152" s="53">
        <f t="shared" si="12"/>
        <v>3</v>
      </c>
      <c r="U152" s="55"/>
      <c r="V152" s="54"/>
      <c r="W152" s="55"/>
      <c r="X152" s="55"/>
      <c r="Y152" s="56">
        <v>3</v>
      </c>
      <c r="Z152" s="28"/>
    </row>
    <row r="153" spans="1:26" ht="28.5" customHeight="1">
      <c r="A153" s="31" t="s">
        <v>219</v>
      </c>
      <c r="B153" s="28"/>
      <c r="C153" s="28"/>
      <c r="D153" s="28"/>
      <c r="E153" s="28"/>
      <c r="F153" s="28"/>
      <c r="G153" s="28"/>
      <c r="H153" s="28"/>
      <c r="I153" s="28"/>
      <c r="J153" s="45"/>
      <c r="K153" s="45"/>
      <c r="L153" s="214" t="s">
        <v>56</v>
      </c>
      <c r="M153" s="55" t="s">
        <v>220</v>
      </c>
      <c r="N153" s="55"/>
      <c r="O153" s="55" t="s">
        <v>221</v>
      </c>
      <c r="P153" s="31" t="s">
        <v>77</v>
      </c>
      <c r="Q153" s="45"/>
      <c r="R153" s="45"/>
      <c r="S153" s="45"/>
      <c r="T153" s="53">
        <f t="shared" si="12"/>
        <v>3</v>
      </c>
      <c r="U153" s="55"/>
      <c r="V153" s="54"/>
      <c r="W153" s="55"/>
      <c r="X153" s="55"/>
      <c r="Y153" s="56">
        <v>3</v>
      </c>
      <c r="Z153" s="28"/>
    </row>
    <row r="154" spans="1:26" ht="28.5" customHeight="1">
      <c r="A154" s="31" t="s">
        <v>222</v>
      </c>
      <c r="B154" s="28"/>
      <c r="C154" s="28"/>
      <c r="D154" s="28"/>
      <c r="E154" s="28"/>
      <c r="F154" s="28"/>
      <c r="G154" s="28"/>
      <c r="H154" s="28"/>
      <c r="I154" s="28"/>
      <c r="J154" s="45"/>
      <c r="K154" s="45"/>
      <c r="L154" s="214" t="s">
        <v>56</v>
      </c>
      <c r="M154" s="55"/>
      <c r="N154" s="55"/>
      <c r="O154" s="55"/>
      <c r="P154" s="28"/>
      <c r="Q154" s="45"/>
      <c r="R154" s="45"/>
      <c r="S154" s="45"/>
      <c r="T154" s="53">
        <f t="shared" si="12"/>
        <v>3</v>
      </c>
      <c r="U154" s="55"/>
      <c r="V154" s="54"/>
      <c r="W154" s="55"/>
      <c r="X154" s="55"/>
      <c r="Y154" s="56">
        <v>3</v>
      </c>
      <c r="Z154" s="28"/>
    </row>
    <row r="155" spans="1:26" ht="28.5" customHeight="1">
      <c r="A155" s="31" t="s">
        <v>223</v>
      </c>
      <c r="B155" s="28"/>
      <c r="C155" s="28"/>
      <c r="D155" s="28"/>
      <c r="E155" s="28"/>
      <c r="F155" s="28"/>
      <c r="G155" s="28"/>
      <c r="H155" s="28"/>
      <c r="I155" s="28"/>
      <c r="J155" s="45"/>
      <c r="K155" s="45"/>
      <c r="L155" s="214" t="s">
        <v>224</v>
      </c>
      <c r="M155" s="55"/>
      <c r="N155" s="55"/>
      <c r="O155" s="55"/>
      <c r="P155" s="28"/>
      <c r="Q155" s="45"/>
      <c r="R155" s="45"/>
      <c r="S155" s="45"/>
      <c r="T155" s="53">
        <f t="shared" si="12"/>
        <v>2</v>
      </c>
      <c r="U155" s="55"/>
      <c r="V155" s="54"/>
      <c r="W155" s="55"/>
      <c r="X155" s="55"/>
      <c r="Y155" s="56">
        <v>3</v>
      </c>
      <c r="Z155" s="28"/>
    </row>
    <row r="156" spans="1:26" ht="28.5" customHeight="1">
      <c r="A156" s="31" t="s">
        <v>225</v>
      </c>
      <c r="B156" s="28"/>
      <c r="C156" s="28"/>
      <c r="D156" s="28"/>
      <c r="E156" s="28"/>
      <c r="F156" s="28"/>
      <c r="G156" s="28"/>
      <c r="H156" s="28"/>
      <c r="I156" s="28"/>
      <c r="J156" s="45"/>
      <c r="K156" s="45"/>
      <c r="L156" s="214" t="s">
        <v>224</v>
      </c>
      <c r="M156" s="55"/>
      <c r="N156" s="55"/>
      <c r="O156" s="55"/>
      <c r="P156" s="28"/>
      <c r="Q156" s="45"/>
      <c r="R156" s="45"/>
      <c r="S156" s="45"/>
      <c r="T156" s="53">
        <f t="shared" si="12"/>
        <v>2</v>
      </c>
      <c r="U156" s="55"/>
      <c r="V156" s="54"/>
      <c r="W156" s="55"/>
      <c r="X156" s="55"/>
      <c r="Y156" s="56">
        <v>3</v>
      </c>
      <c r="Z156" s="28"/>
    </row>
    <row r="157" spans="1:26" ht="28.5" customHeight="1">
      <c r="A157" s="31" t="s">
        <v>226</v>
      </c>
      <c r="B157" s="28"/>
      <c r="C157" s="28"/>
      <c r="D157" s="28"/>
      <c r="E157" s="28"/>
      <c r="F157" s="28"/>
      <c r="G157" s="28"/>
      <c r="H157" s="28"/>
      <c r="I157" s="28"/>
      <c r="J157" s="45"/>
      <c r="K157" s="45"/>
      <c r="L157" s="214" t="s">
        <v>224</v>
      </c>
      <c r="M157" s="55"/>
      <c r="N157" s="55"/>
      <c r="O157" s="55"/>
      <c r="P157" s="28"/>
      <c r="Q157" s="45"/>
      <c r="R157" s="45"/>
      <c r="S157" s="45"/>
      <c r="T157" s="53">
        <f t="shared" si="12"/>
        <v>2</v>
      </c>
      <c r="U157" s="55"/>
      <c r="V157" s="54"/>
      <c r="W157" s="55"/>
      <c r="X157" s="55"/>
      <c r="Y157" s="56">
        <v>3</v>
      </c>
      <c r="Z157" s="28"/>
    </row>
    <row r="158" spans="1:26" ht="28.5" customHeight="1">
      <c r="A158" s="31" t="s">
        <v>227</v>
      </c>
      <c r="B158" s="28"/>
      <c r="C158" s="28"/>
      <c r="D158" s="28"/>
      <c r="E158" s="28"/>
      <c r="F158" s="28"/>
      <c r="G158" s="28"/>
      <c r="H158" s="28"/>
      <c r="I158" s="28"/>
      <c r="J158" s="45"/>
      <c r="K158" s="45"/>
      <c r="L158" s="214" t="s">
        <v>224</v>
      </c>
      <c r="M158" s="55"/>
      <c r="N158" s="55"/>
      <c r="O158" s="55"/>
      <c r="P158" s="28"/>
      <c r="Q158" s="45"/>
      <c r="R158" s="45"/>
      <c r="S158" s="45"/>
      <c r="T158" s="53">
        <f t="shared" si="12"/>
        <v>2</v>
      </c>
      <c r="U158" s="55"/>
      <c r="V158" s="54"/>
      <c r="W158" s="55"/>
      <c r="X158" s="55"/>
      <c r="Y158" s="56">
        <v>3</v>
      </c>
      <c r="Z158" s="28"/>
    </row>
    <row r="159" spans="1:26" ht="28.5" customHeight="1">
      <c r="A159" s="31" t="s">
        <v>228</v>
      </c>
      <c r="B159" s="28"/>
      <c r="C159" s="28"/>
      <c r="D159" s="28"/>
      <c r="E159" s="28"/>
      <c r="F159" s="28"/>
      <c r="G159" s="28"/>
      <c r="H159" s="28"/>
      <c r="I159" s="28"/>
      <c r="J159" s="45"/>
      <c r="K159" s="45"/>
      <c r="L159" s="214" t="s">
        <v>224</v>
      </c>
      <c r="M159" s="55"/>
      <c r="N159" s="55"/>
      <c r="O159" s="55"/>
      <c r="P159" s="28"/>
      <c r="Q159" s="45"/>
      <c r="R159" s="45"/>
      <c r="S159" s="45"/>
      <c r="T159" s="53">
        <f t="shared" si="12"/>
        <v>2</v>
      </c>
      <c r="U159" s="55"/>
      <c r="V159" s="54"/>
      <c r="W159" s="55"/>
      <c r="X159" s="55"/>
      <c r="Y159" s="56">
        <v>3</v>
      </c>
      <c r="Z159" s="28"/>
    </row>
    <row r="160" spans="1:26" ht="28.5" customHeight="1">
      <c r="A160" s="31" t="s">
        <v>229</v>
      </c>
      <c r="B160" s="28"/>
      <c r="C160" s="28"/>
      <c r="D160" s="28"/>
      <c r="E160" s="28"/>
      <c r="F160" s="28"/>
      <c r="G160" s="28"/>
      <c r="H160" s="28"/>
      <c r="I160" s="28"/>
      <c r="J160" s="45"/>
      <c r="K160" s="45"/>
      <c r="L160" s="214" t="s">
        <v>224</v>
      </c>
      <c r="M160" s="55"/>
      <c r="N160" s="55"/>
      <c r="O160" s="55"/>
      <c r="P160" s="28"/>
      <c r="Q160" s="45"/>
      <c r="R160" s="45"/>
      <c r="S160" s="45"/>
      <c r="T160" s="53">
        <f t="shared" si="12"/>
        <v>2</v>
      </c>
      <c r="U160" s="55"/>
      <c r="V160" s="54"/>
      <c r="W160" s="55"/>
      <c r="X160" s="55"/>
      <c r="Y160" s="56">
        <v>3</v>
      </c>
      <c r="Z160" s="28"/>
    </row>
    <row r="161" spans="1:26" ht="28.5" customHeight="1">
      <c r="A161" s="31" t="s">
        <v>230</v>
      </c>
      <c r="B161" s="28"/>
      <c r="C161" s="28"/>
      <c r="D161" s="28"/>
      <c r="E161" s="28"/>
      <c r="F161" s="28"/>
      <c r="G161" s="28"/>
      <c r="H161" s="28"/>
      <c r="I161" s="28"/>
      <c r="J161" s="45"/>
      <c r="K161" s="45"/>
      <c r="L161" s="214" t="s">
        <v>224</v>
      </c>
      <c r="M161" s="55"/>
      <c r="N161" s="55"/>
      <c r="O161" s="55"/>
      <c r="P161" s="28"/>
      <c r="Q161" s="45"/>
      <c r="R161" s="45"/>
      <c r="S161" s="45"/>
      <c r="T161" s="53">
        <f t="shared" si="12"/>
        <v>2</v>
      </c>
      <c r="U161" s="55"/>
      <c r="V161" s="54"/>
      <c r="W161" s="55"/>
      <c r="X161" s="55"/>
      <c r="Y161" s="56">
        <v>3</v>
      </c>
      <c r="Z161" s="28"/>
    </row>
    <row r="162" spans="1:26" ht="28.5" customHeight="1">
      <c r="A162" s="31" t="s">
        <v>231</v>
      </c>
      <c r="B162" s="28"/>
      <c r="C162" s="28"/>
      <c r="D162" s="28"/>
      <c r="E162" s="28"/>
      <c r="F162" s="28"/>
      <c r="G162" s="28"/>
      <c r="H162" s="28"/>
      <c r="I162" s="28"/>
      <c r="J162" s="45"/>
      <c r="K162" s="45"/>
      <c r="L162" s="214" t="s">
        <v>224</v>
      </c>
      <c r="M162" s="55"/>
      <c r="N162" s="55"/>
      <c r="O162" s="55"/>
      <c r="Q162" s="45"/>
      <c r="R162" s="45"/>
      <c r="S162" s="45"/>
      <c r="T162" s="53">
        <f t="shared" si="12"/>
        <v>2</v>
      </c>
      <c r="U162" s="55"/>
      <c r="V162" s="54"/>
      <c r="W162" s="55"/>
      <c r="X162" s="55"/>
      <c r="Y162" s="56">
        <v>3</v>
      </c>
    </row>
    <row r="163" spans="1:26" ht="28.5" customHeight="1">
      <c r="A163" s="31" t="s">
        <v>232</v>
      </c>
      <c r="B163" s="28"/>
      <c r="C163" s="28"/>
      <c r="D163" s="28"/>
      <c r="E163" s="28"/>
      <c r="F163" s="28"/>
      <c r="G163" s="28"/>
      <c r="H163" s="28"/>
      <c r="I163" s="28"/>
      <c r="J163" s="45"/>
      <c r="K163" s="45"/>
      <c r="L163" s="214" t="s">
        <v>224</v>
      </c>
      <c r="M163" s="55"/>
      <c r="N163" s="55"/>
      <c r="O163" s="55"/>
      <c r="Q163" s="45"/>
      <c r="R163" s="45"/>
      <c r="S163" s="45"/>
      <c r="T163" s="53">
        <f t="shared" si="12"/>
        <v>2</v>
      </c>
      <c r="U163" s="55"/>
      <c r="V163" s="54"/>
      <c r="W163" s="55"/>
      <c r="X163" s="55"/>
      <c r="Y163" s="56">
        <v>3</v>
      </c>
    </row>
    <row r="164" spans="1:26" ht="28.5" customHeight="1">
      <c r="A164" s="31" t="s">
        <v>233</v>
      </c>
      <c r="B164" s="28"/>
      <c r="C164" s="28"/>
      <c r="D164" s="28"/>
      <c r="E164" s="28"/>
      <c r="F164" s="28"/>
      <c r="G164" s="28"/>
      <c r="H164" s="28"/>
      <c r="I164" s="28"/>
      <c r="J164" s="45"/>
      <c r="K164" s="45"/>
      <c r="L164" s="214" t="s">
        <v>224</v>
      </c>
      <c r="M164" s="55"/>
      <c r="N164" s="55"/>
      <c r="O164" s="55"/>
      <c r="Q164" s="45"/>
      <c r="R164" s="45"/>
      <c r="S164" s="45"/>
      <c r="T164" s="53">
        <f t="shared" si="12"/>
        <v>2</v>
      </c>
      <c r="U164" s="55"/>
      <c r="V164" s="54"/>
      <c r="W164" s="55"/>
      <c r="X164" s="55"/>
      <c r="Y164" s="56">
        <v>3</v>
      </c>
    </row>
    <row r="165" spans="1:26" ht="28.5" customHeight="1">
      <c r="A165" s="31" t="s">
        <v>234</v>
      </c>
      <c r="B165" s="28"/>
      <c r="C165" s="28"/>
      <c r="D165" s="28"/>
      <c r="E165" s="28"/>
      <c r="F165" s="28"/>
      <c r="G165" s="28"/>
      <c r="H165" s="28"/>
      <c r="I165" s="28"/>
      <c r="J165" s="45"/>
      <c r="K165" s="45"/>
      <c r="L165" s="214" t="s">
        <v>224</v>
      </c>
      <c r="M165" s="55"/>
      <c r="N165" s="55"/>
      <c r="O165" s="55"/>
      <c r="Q165" s="45"/>
      <c r="R165" s="45"/>
      <c r="S165" s="45"/>
      <c r="T165" s="53">
        <f t="shared" si="12"/>
        <v>2</v>
      </c>
      <c r="U165" s="55"/>
      <c r="V165" s="54"/>
      <c r="W165" s="55"/>
      <c r="X165" s="55"/>
      <c r="Y165" s="56">
        <v>3</v>
      </c>
    </row>
    <row r="166" spans="1:26" ht="28.5" customHeight="1">
      <c r="A166" s="31" t="s">
        <v>235</v>
      </c>
      <c r="B166" s="28"/>
      <c r="C166" s="28"/>
      <c r="D166" s="28"/>
      <c r="E166" s="28"/>
      <c r="F166" s="28"/>
      <c r="G166" s="28"/>
      <c r="H166" s="28"/>
      <c r="I166" s="28"/>
      <c r="J166" s="45"/>
      <c r="K166" s="45"/>
      <c r="L166" s="214" t="s">
        <v>224</v>
      </c>
      <c r="M166" s="55"/>
      <c r="N166" s="55"/>
      <c r="O166" s="55"/>
      <c r="Q166" s="45"/>
      <c r="R166" s="45"/>
      <c r="S166" s="45"/>
      <c r="T166" s="53">
        <f t="shared" si="12"/>
        <v>2</v>
      </c>
      <c r="U166" s="55"/>
      <c r="V166" s="54"/>
      <c r="W166" s="55"/>
      <c r="X166" s="55"/>
      <c r="Y166" s="56">
        <v>3</v>
      </c>
    </row>
    <row r="167" spans="1:26" ht="28.5" customHeight="1">
      <c r="A167" s="31" t="s">
        <v>236</v>
      </c>
      <c r="B167" s="28"/>
      <c r="C167" s="28"/>
      <c r="D167" s="28"/>
      <c r="E167" s="28"/>
      <c r="F167" s="28"/>
      <c r="G167" s="28"/>
      <c r="H167" s="28"/>
      <c r="I167" s="28"/>
      <c r="J167" s="45"/>
      <c r="K167" s="45"/>
      <c r="L167" s="214" t="s">
        <v>237</v>
      </c>
      <c r="M167" s="55"/>
      <c r="N167" s="55"/>
      <c r="O167" s="55"/>
      <c r="Q167" s="45"/>
      <c r="R167" s="45"/>
      <c r="S167" s="45"/>
      <c r="T167" s="53">
        <f t="shared" si="12"/>
        <v>2</v>
      </c>
      <c r="U167" s="55"/>
      <c r="V167" s="54"/>
      <c r="W167" s="55"/>
      <c r="X167" s="55"/>
      <c r="Y167" s="56">
        <v>3</v>
      </c>
    </row>
    <row r="168" spans="1:26" ht="28.5" customHeight="1">
      <c r="A168" s="31" t="s">
        <v>238</v>
      </c>
      <c r="B168" s="28"/>
      <c r="C168" s="28"/>
      <c r="D168" s="28"/>
      <c r="E168" s="28"/>
      <c r="F168" s="28"/>
      <c r="G168" s="28"/>
      <c r="H168" s="28"/>
      <c r="I168" s="28"/>
      <c r="J168" s="45"/>
      <c r="K168" s="45"/>
      <c r="L168" s="214" t="s">
        <v>237</v>
      </c>
      <c r="M168" s="55"/>
      <c r="N168" s="55"/>
      <c r="O168" s="55"/>
      <c r="Q168" s="45"/>
      <c r="R168" s="45"/>
      <c r="S168" s="45"/>
      <c r="T168" s="53">
        <f t="shared" si="12"/>
        <v>2</v>
      </c>
      <c r="U168" s="55"/>
      <c r="V168" s="54"/>
      <c r="W168" s="55"/>
      <c r="X168" s="55"/>
      <c r="Y168" s="56">
        <v>3</v>
      </c>
    </row>
    <row r="169" spans="1:26" ht="28.5" customHeight="1">
      <c r="A169" s="47" t="s">
        <v>239</v>
      </c>
      <c r="B169" s="28"/>
      <c r="C169" s="28"/>
      <c r="D169" s="28"/>
      <c r="E169" s="28"/>
      <c r="F169" s="28"/>
      <c r="G169" s="28"/>
      <c r="H169" s="28"/>
      <c r="I169" s="28"/>
      <c r="J169" s="45"/>
      <c r="K169" s="45"/>
      <c r="L169" s="214" t="s">
        <v>237</v>
      </c>
      <c r="M169" s="55"/>
      <c r="N169" s="55"/>
      <c r="O169" s="55"/>
      <c r="Q169" s="45"/>
      <c r="R169" s="45"/>
      <c r="S169" s="45"/>
      <c r="T169" s="53">
        <f t="shared" si="12"/>
        <v>2</v>
      </c>
      <c r="U169" s="55"/>
      <c r="V169" s="54"/>
      <c r="W169" s="55"/>
      <c r="X169" s="55"/>
      <c r="Y169" s="56">
        <v>3</v>
      </c>
    </row>
    <row r="170" spans="1:26" ht="28.5" customHeight="1">
      <c r="A170" s="31" t="s">
        <v>240</v>
      </c>
      <c r="B170" s="28"/>
      <c r="C170" s="28"/>
      <c r="D170" s="28"/>
      <c r="E170" s="28"/>
      <c r="F170" s="28"/>
      <c r="G170" s="28"/>
      <c r="H170" s="28"/>
      <c r="I170" s="28"/>
      <c r="J170" s="45"/>
      <c r="K170" s="45"/>
      <c r="L170" s="214" t="s">
        <v>237</v>
      </c>
      <c r="M170" s="55"/>
      <c r="N170" s="55"/>
      <c r="O170" s="55"/>
      <c r="Q170" s="45"/>
      <c r="R170" s="45"/>
      <c r="S170" s="45"/>
      <c r="T170" s="53">
        <f t="shared" si="12"/>
        <v>2</v>
      </c>
      <c r="U170" s="55"/>
      <c r="V170" s="54"/>
      <c r="W170" s="55"/>
      <c r="X170" s="55"/>
      <c r="Y170" s="56">
        <v>3</v>
      </c>
    </row>
    <row r="171" spans="1:26" ht="28.5" customHeight="1">
      <c r="A171" s="31" t="s">
        <v>241</v>
      </c>
      <c r="B171" s="28"/>
      <c r="C171" s="28"/>
      <c r="D171" s="28"/>
      <c r="E171" s="28"/>
      <c r="F171" s="28"/>
      <c r="G171" s="28"/>
      <c r="H171" s="28"/>
      <c r="I171" s="28"/>
      <c r="J171" s="45"/>
      <c r="K171" s="45"/>
      <c r="L171" s="214" t="s">
        <v>237</v>
      </c>
      <c r="M171" s="55"/>
      <c r="N171" s="55"/>
      <c r="O171" s="55"/>
      <c r="Q171" s="45"/>
      <c r="R171" s="45"/>
      <c r="S171" s="45"/>
      <c r="T171" s="53">
        <f t="shared" si="12"/>
        <v>2</v>
      </c>
      <c r="U171" s="55"/>
      <c r="V171" s="54"/>
      <c r="W171" s="55"/>
      <c r="X171" s="55"/>
      <c r="Y171" s="56">
        <v>3</v>
      </c>
    </row>
    <row r="172" spans="1:26" ht="28.5" customHeight="1">
      <c r="A172" s="31" t="s">
        <v>242</v>
      </c>
      <c r="B172" s="28"/>
      <c r="C172" s="28"/>
      <c r="D172" s="28"/>
      <c r="E172" s="28"/>
      <c r="F172" s="28"/>
      <c r="G172" s="28"/>
      <c r="H172" s="28"/>
      <c r="I172" s="28"/>
      <c r="J172" s="45"/>
      <c r="K172" s="45"/>
      <c r="L172" s="214" t="s">
        <v>237</v>
      </c>
      <c r="M172" s="55"/>
      <c r="N172" s="55"/>
      <c r="O172" s="55"/>
      <c r="Q172" s="45"/>
      <c r="R172" s="45"/>
      <c r="S172" s="45"/>
      <c r="T172" s="53">
        <f t="shared" si="12"/>
        <v>2</v>
      </c>
      <c r="U172" s="55"/>
      <c r="V172" s="54"/>
      <c r="W172" s="55"/>
      <c r="X172" s="55"/>
      <c r="Y172" s="56">
        <v>3</v>
      </c>
    </row>
  </sheetData>
  <sheetProtection password="9B76" sheet="1" objects="1" scenarios="1"/>
  <autoFilter ref="A5:Z172"/>
  <customSheetViews>
    <customSheetView guid="{B86257EE-0156-41F8-B4C2-E78E8DECB83A}" showAutoFilter="1" hiddenColumns="1">
      <selection activeCell="A7" sqref="A7"/>
      <pageSetup paperSize="9" orientation="portrait"/>
      <autoFilter ref="A4:Z171"/>
    </customSheetView>
    <customSheetView guid="{033A95D0-94F2-0942-BC86-50E37364F610}" showAutoFilter="1" hiddenColumns="1">
      <selection activeCell="AF7" sqref="AF7"/>
      <pageSetup paperSize="9" orientation="portrait"/>
      <autoFilter ref="A4:Z171"/>
    </customSheetView>
  </customSheetViews>
  <conditionalFormatting sqref="U6:V43">
    <cfRule type="colorScale" priority="4">
      <colorScale>
        <cfvo type="min"/>
        <cfvo type="num" val="2"/>
        <cfvo type="max"/>
        <color rgb="FF00B050"/>
        <color rgb="FFFFC000"/>
        <color rgb="FFFF0000"/>
      </colorScale>
    </cfRule>
  </conditionalFormatting>
  <conditionalFormatting sqref="Q6:T43 T44:T172">
    <cfRule type="colorScale" priority="3">
      <colorScale>
        <cfvo type="min"/>
        <cfvo type="num" val="2"/>
        <cfvo type="max"/>
        <color rgb="FF00B050"/>
        <color rgb="FFFFC000"/>
        <color rgb="FFFF0000"/>
      </colorScale>
    </cfRule>
  </conditionalFormatting>
  <conditionalFormatting sqref="Y6:Y43">
    <cfRule type="colorScale" priority="2">
      <colorScale>
        <cfvo type="min"/>
        <cfvo type="percentile" val="50"/>
        <cfvo type="max"/>
        <color rgb="FF00B050"/>
        <color rgb="FFFFC000"/>
        <color rgb="FFFF0000"/>
      </colorScale>
    </cfRule>
  </conditionalFormatting>
  <conditionalFormatting sqref="AA6:AA43">
    <cfRule type="colorScale" priority="1">
      <colorScale>
        <cfvo type="min"/>
        <cfvo type="percentile" val="50"/>
        <cfvo type="max"/>
        <color rgb="FF00B050"/>
        <color rgb="FFFFEB84"/>
        <color rgb="FFFF0000"/>
      </colorScale>
    </cfRule>
  </conditionalFormatting>
  <hyperlinks>
    <hyperlink ref="B48" r:id="rId1"/>
    <hyperlink ref="B49" r:id="rId2"/>
  </hyperlinks>
  <pageMargins left="0.7" right="0.7" top="0.75" bottom="0.75" header="0.3" footer="0.3"/>
  <pageSetup paperSize="9" orientation="portrait"/>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topLeftCell="A2" workbookViewId="0">
      <selection activeCell="J15" sqref="J15"/>
    </sheetView>
  </sheetViews>
  <sheetFormatPr baseColWidth="10" defaultColWidth="10.83203125" defaultRowHeight="15" x14ac:dyDescent="0"/>
  <cols>
    <col min="1" max="1" width="6.1640625" style="368" customWidth="1"/>
    <col min="2" max="2" width="22.33203125" style="368" customWidth="1"/>
    <col min="3" max="3" width="8.6640625" style="368" customWidth="1"/>
    <col min="4" max="4" width="27.5" style="368" customWidth="1"/>
    <col min="5" max="5" width="20.5" style="368" customWidth="1"/>
    <col min="6" max="16384" width="10.83203125" style="368"/>
  </cols>
  <sheetData>
    <row r="1" spans="1:6">
      <c r="A1" s="367"/>
      <c r="B1" s="367" t="s">
        <v>521</v>
      </c>
      <c r="C1" s="367"/>
      <c r="D1" s="367" t="s">
        <v>456</v>
      </c>
      <c r="E1" s="367" t="s">
        <v>522</v>
      </c>
      <c r="F1" s="367"/>
    </row>
    <row r="2" spans="1:6" ht="45">
      <c r="A2" s="369">
        <v>1</v>
      </c>
      <c r="B2" s="370" t="s">
        <v>523</v>
      </c>
      <c r="C2" s="369" t="s">
        <v>524</v>
      </c>
      <c r="D2" s="369" t="s">
        <v>525</v>
      </c>
      <c r="E2" s="369" t="s">
        <v>526</v>
      </c>
      <c r="F2" s="438">
        <v>14</v>
      </c>
    </row>
    <row r="3" spans="1:6">
      <c r="A3" s="369"/>
      <c r="B3" s="369"/>
      <c r="C3" s="369"/>
      <c r="D3" s="369"/>
      <c r="E3" s="369" t="s">
        <v>527</v>
      </c>
      <c r="F3" s="438"/>
    </row>
    <row r="4" spans="1:6" ht="60">
      <c r="A4" s="369"/>
      <c r="B4" s="369"/>
      <c r="C4" s="369" t="s">
        <v>528</v>
      </c>
      <c r="D4" s="369" t="s">
        <v>529</v>
      </c>
      <c r="E4" s="369" t="s">
        <v>530</v>
      </c>
      <c r="F4" s="438"/>
    </row>
    <row r="5" spans="1:6">
      <c r="A5" s="369"/>
      <c r="B5" s="369"/>
      <c r="C5" s="369"/>
      <c r="D5" s="369"/>
      <c r="E5" s="369" t="s">
        <v>531</v>
      </c>
      <c r="F5" s="438"/>
    </row>
    <row r="6" spans="1:6">
      <c r="A6" s="369"/>
      <c r="B6" s="369"/>
      <c r="C6" s="369"/>
      <c r="D6" s="369"/>
      <c r="E6" s="369" t="s">
        <v>532</v>
      </c>
      <c r="F6" s="438"/>
    </row>
    <row r="7" spans="1:6">
      <c r="A7" s="369"/>
      <c r="B7" s="369"/>
      <c r="C7" s="369"/>
      <c r="D7" s="369"/>
      <c r="E7" s="369" t="s">
        <v>533</v>
      </c>
      <c r="F7" s="438"/>
    </row>
    <row r="8" spans="1:6">
      <c r="A8" s="369"/>
      <c r="B8" s="369"/>
      <c r="C8" s="369"/>
      <c r="D8" s="369"/>
      <c r="E8" s="369" t="s">
        <v>534</v>
      </c>
      <c r="F8" s="438"/>
    </row>
    <row r="9" spans="1:6">
      <c r="A9" s="369"/>
      <c r="B9" s="369"/>
      <c r="C9" s="369"/>
      <c r="D9" s="369"/>
      <c r="E9" s="369" t="s">
        <v>535</v>
      </c>
      <c r="F9" s="438"/>
    </row>
    <row r="10" spans="1:6">
      <c r="A10" s="369"/>
      <c r="B10" s="369"/>
      <c r="C10" s="369"/>
      <c r="D10" s="369"/>
      <c r="E10" s="369" t="s">
        <v>536</v>
      </c>
      <c r="F10" s="438"/>
    </row>
    <row r="11" spans="1:6">
      <c r="A11" s="369"/>
      <c r="B11" s="369"/>
      <c r="C11" s="369"/>
      <c r="D11" s="369"/>
      <c r="E11" s="369" t="s">
        <v>537</v>
      </c>
      <c r="F11" s="438"/>
    </row>
    <row r="12" spans="1:6" ht="75">
      <c r="A12" s="369"/>
      <c r="B12" s="369"/>
      <c r="C12" s="369" t="s">
        <v>538</v>
      </c>
      <c r="D12" s="369" t="s">
        <v>539</v>
      </c>
      <c r="E12" s="369" t="s">
        <v>540</v>
      </c>
      <c r="F12" s="438"/>
    </row>
    <row r="13" spans="1:6">
      <c r="A13" s="369"/>
      <c r="B13" s="369"/>
      <c r="C13" s="369"/>
      <c r="D13" s="369"/>
      <c r="E13" s="369" t="s">
        <v>541</v>
      </c>
      <c r="F13" s="438"/>
    </row>
    <row r="14" spans="1:6">
      <c r="A14" s="369"/>
      <c r="B14" s="369"/>
      <c r="C14" s="369"/>
      <c r="D14" s="369"/>
      <c r="E14" s="369" t="s">
        <v>542</v>
      </c>
      <c r="F14" s="438"/>
    </row>
    <row r="15" spans="1:6" ht="16" thickBot="1">
      <c r="A15" s="371"/>
      <c r="B15" s="371"/>
      <c r="C15" s="371"/>
      <c r="D15" s="371"/>
      <c r="E15" s="371" t="s">
        <v>543</v>
      </c>
      <c r="F15" s="439"/>
    </row>
    <row r="16" spans="1:6" ht="45">
      <c r="A16" s="368">
        <v>3</v>
      </c>
      <c r="B16" s="368" t="s">
        <v>544</v>
      </c>
      <c r="C16" s="372" t="s">
        <v>545</v>
      </c>
      <c r="D16" s="372" t="s">
        <v>546</v>
      </c>
      <c r="E16" s="372" t="s">
        <v>547</v>
      </c>
      <c r="F16" s="440">
        <v>53</v>
      </c>
    </row>
    <row r="17" spans="3:6">
      <c r="C17" s="369"/>
      <c r="D17" s="369"/>
      <c r="E17" s="369" t="s">
        <v>548</v>
      </c>
      <c r="F17" s="438"/>
    </row>
    <row r="18" spans="3:6" ht="60">
      <c r="C18" s="369" t="s">
        <v>549</v>
      </c>
      <c r="D18" s="369" t="s">
        <v>550</v>
      </c>
      <c r="E18" s="369" t="s">
        <v>551</v>
      </c>
      <c r="F18" s="438"/>
    </row>
    <row r="19" spans="3:6">
      <c r="C19" s="369"/>
      <c r="D19" s="369"/>
      <c r="E19" s="369" t="s">
        <v>552</v>
      </c>
      <c r="F19" s="438"/>
    </row>
    <row r="20" spans="3:6">
      <c r="C20" s="369"/>
      <c r="D20" s="369"/>
      <c r="E20" s="369" t="s">
        <v>553</v>
      </c>
      <c r="F20" s="438"/>
    </row>
    <row r="21" spans="3:6">
      <c r="C21" s="369"/>
      <c r="D21" s="369"/>
      <c r="E21" s="369" t="s">
        <v>554</v>
      </c>
      <c r="F21" s="438"/>
    </row>
    <row r="22" spans="3:6">
      <c r="C22" s="369"/>
      <c r="D22" s="369"/>
      <c r="E22" s="369" t="s">
        <v>555</v>
      </c>
      <c r="F22" s="438"/>
    </row>
    <row r="23" spans="3:6">
      <c r="C23" s="369"/>
      <c r="D23" s="369"/>
      <c r="E23" s="369" t="s">
        <v>556</v>
      </c>
      <c r="F23" s="438"/>
    </row>
    <row r="24" spans="3:6">
      <c r="C24" s="369"/>
      <c r="D24" s="369"/>
      <c r="E24" s="369" t="s">
        <v>557</v>
      </c>
      <c r="F24" s="438"/>
    </row>
    <row r="25" spans="3:6">
      <c r="C25" s="369"/>
      <c r="D25" s="369"/>
      <c r="E25" s="369" t="s">
        <v>558</v>
      </c>
      <c r="F25" s="438"/>
    </row>
    <row r="26" spans="3:6">
      <c r="C26" s="369"/>
      <c r="D26" s="369"/>
      <c r="E26" s="369" t="s">
        <v>559</v>
      </c>
      <c r="F26" s="438"/>
    </row>
    <row r="27" spans="3:6">
      <c r="C27" s="369"/>
      <c r="D27" s="369"/>
      <c r="E27" s="369" t="s">
        <v>560</v>
      </c>
      <c r="F27" s="438"/>
    </row>
    <row r="28" spans="3:6">
      <c r="C28" s="369"/>
      <c r="D28" s="369"/>
      <c r="E28" s="369" t="s">
        <v>561</v>
      </c>
      <c r="F28" s="438"/>
    </row>
    <row r="29" spans="3:6" ht="30">
      <c r="C29" s="369" t="s">
        <v>562</v>
      </c>
      <c r="D29" s="369" t="s">
        <v>563</v>
      </c>
      <c r="E29" s="369" t="s">
        <v>564</v>
      </c>
      <c r="F29" s="438"/>
    </row>
    <row r="30" spans="3:6">
      <c r="C30" s="369"/>
      <c r="D30" s="369"/>
      <c r="E30" s="369" t="s">
        <v>565</v>
      </c>
      <c r="F30" s="438"/>
    </row>
    <row r="31" spans="3:6">
      <c r="C31" s="369"/>
      <c r="D31" s="369"/>
      <c r="E31" s="369" t="s">
        <v>566</v>
      </c>
      <c r="F31" s="438"/>
    </row>
    <row r="32" spans="3:6">
      <c r="C32" s="369"/>
      <c r="D32" s="369"/>
      <c r="E32" s="369" t="s">
        <v>567</v>
      </c>
      <c r="F32" s="438"/>
    </row>
    <row r="33" spans="3:6" ht="30">
      <c r="C33" s="369" t="s">
        <v>568</v>
      </c>
      <c r="D33" s="369" t="s">
        <v>569</v>
      </c>
      <c r="E33" s="369" t="s">
        <v>570</v>
      </c>
      <c r="F33" s="438"/>
    </row>
    <row r="34" spans="3:6">
      <c r="C34" s="369"/>
      <c r="D34" s="369"/>
      <c r="E34" s="369" t="s">
        <v>571</v>
      </c>
      <c r="F34" s="438"/>
    </row>
    <row r="35" spans="3:6">
      <c r="C35" s="369"/>
      <c r="D35" s="369"/>
      <c r="E35" s="369" t="s">
        <v>572</v>
      </c>
      <c r="F35" s="438"/>
    </row>
    <row r="36" spans="3:6" ht="30">
      <c r="C36" s="369" t="s">
        <v>573</v>
      </c>
      <c r="D36" s="369" t="s">
        <v>574</v>
      </c>
      <c r="E36" s="369" t="s">
        <v>575</v>
      </c>
      <c r="F36" s="438"/>
    </row>
    <row r="37" spans="3:6">
      <c r="C37" s="369"/>
      <c r="D37" s="369"/>
      <c r="E37" s="369" t="s">
        <v>576</v>
      </c>
      <c r="F37" s="438"/>
    </row>
    <row r="38" spans="3:6">
      <c r="C38" s="369"/>
      <c r="D38" s="369"/>
      <c r="E38" s="369" t="s">
        <v>577</v>
      </c>
      <c r="F38" s="438"/>
    </row>
    <row r="39" spans="3:6">
      <c r="C39" s="369"/>
      <c r="D39" s="369"/>
      <c r="E39" s="369" t="s">
        <v>578</v>
      </c>
      <c r="F39" s="438"/>
    </row>
    <row r="40" spans="3:6">
      <c r="C40" s="369"/>
      <c r="D40" s="369"/>
      <c r="E40" s="369" t="s">
        <v>579</v>
      </c>
      <c r="F40" s="438"/>
    </row>
    <row r="41" spans="3:6">
      <c r="C41" s="369"/>
      <c r="D41" s="369"/>
      <c r="E41" s="369" t="s">
        <v>580</v>
      </c>
      <c r="F41" s="438"/>
    </row>
    <row r="42" spans="3:6">
      <c r="C42" s="369"/>
      <c r="D42" s="369"/>
      <c r="E42" s="369" t="s">
        <v>581</v>
      </c>
      <c r="F42" s="438"/>
    </row>
    <row r="43" spans="3:6">
      <c r="C43" s="369"/>
      <c r="D43" s="369"/>
      <c r="E43" s="369" t="s">
        <v>582</v>
      </c>
      <c r="F43" s="438"/>
    </row>
    <row r="44" spans="3:6" ht="45">
      <c r="C44" s="369" t="s">
        <v>583</v>
      </c>
      <c r="D44" s="369" t="s">
        <v>584</v>
      </c>
      <c r="E44" s="369" t="s">
        <v>585</v>
      </c>
      <c r="F44" s="438"/>
    </row>
    <row r="45" spans="3:6">
      <c r="C45" s="369"/>
      <c r="D45" s="369"/>
      <c r="E45" s="369" t="s">
        <v>586</v>
      </c>
      <c r="F45" s="438"/>
    </row>
    <row r="46" spans="3:6">
      <c r="C46" s="369"/>
      <c r="D46" s="369"/>
      <c r="E46" s="369" t="s">
        <v>587</v>
      </c>
      <c r="F46" s="438"/>
    </row>
    <row r="47" spans="3:6" ht="30">
      <c r="C47" s="369" t="s">
        <v>588</v>
      </c>
      <c r="D47" s="369" t="s">
        <v>589</v>
      </c>
      <c r="E47" s="369" t="s">
        <v>590</v>
      </c>
      <c r="F47" s="438"/>
    </row>
    <row r="48" spans="3:6">
      <c r="C48" s="369"/>
      <c r="D48" s="369"/>
      <c r="E48" s="369" t="s">
        <v>591</v>
      </c>
      <c r="F48" s="438"/>
    </row>
    <row r="49" spans="3:6" ht="30">
      <c r="C49" s="369" t="s">
        <v>592</v>
      </c>
      <c r="D49" s="369" t="s">
        <v>593</v>
      </c>
      <c r="E49" s="369" t="s">
        <v>594</v>
      </c>
      <c r="F49" s="438"/>
    </row>
    <row r="50" spans="3:6">
      <c r="C50" s="369"/>
      <c r="D50" s="369"/>
      <c r="E50" s="369" t="s">
        <v>595</v>
      </c>
      <c r="F50" s="438"/>
    </row>
    <row r="51" spans="3:6">
      <c r="C51" s="369"/>
      <c r="D51" s="369"/>
      <c r="E51" s="369" t="s">
        <v>596</v>
      </c>
      <c r="F51" s="438"/>
    </row>
    <row r="52" spans="3:6">
      <c r="C52" s="369"/>
      <c r="D52" s="369"/>
      <c r="E52" s="369" t="s">
        <v>597</v>
      </c>
      <c r="F52" s="438"/>
    </row>
    <row r="53" spans="3:6" ht="30">
      <c r="C53" s="369" t="s">
        <v>598</v>
      </c>
      <c r="D53" s="369" t="s">
        <v>599</v>
      </c>
      <c r="E53" s="369" t="s">
        <v>600</v>
      </c>
      <c r="F53" s="438"/>
    </row>
    <row r="54" spans="3:6">
      <c r="C54" s="369"/>
      <c r="D54" s="369"/>
      <c r="E54" s="369" t="s">
        <v>601</v>
      </c>
      <c r="F54" s="438"/>
    </row>
    <row r="55" spans="3:6">
      <c r="C55" s="369"/>
      <c r="D55" s="369"/>
      <c r="E55" s="369" t="s">
        <v>602</v>
      </c>
      <c r="F55" s="438"/>
    </row>
    <row r="56" spans="3:6">
      <c r="C56" s="369"/>
      <c r="D56" s="369"/>
      <c r="E56" s="369" t="s">
        <v>603</v>
      </c>
      <c r="F56" s="438"/>
    </row>
    <row r="57" spans="3:6">
      <c r="C57" s="369"/>
      <c r="D57" s="369"/>
      <c r="E57" s="369" t="s">
        <v>604</v>
      </c>
      <c r="F57" s="438"/>
    </row>
    <row r="58" spans="3:6">
      <c r="C58" s="369"/>
      <c r="D58" s="369"/>
      <c r="E58" s="369" t="s">
        <v>605</v>
      </c>
      <c r="F58" s="438"/>
    </row>
    <row r="59" spans="3:6">
      <c r="C59" s="369"/>
      <c r="D59" s="369"/>
      <c r="E59" s="369" t="s">
        <v>606</v>
      </c>
      <c r="F59" s="438"/>
    </row>
    <row r="60" spans="3:6" ht="45">
      <c r="C60" s="369" t="s">
        <v>607</v>
      </c>
      <c r="D60" s="369" t="s">
        <v>608</v>
      </c>
      <c r="E60" s="369" t="s">
        <v>609</v>
      </c>
      <c r="F60" s="438"/>
    </row>
    <row r="61" spans="3:6">
      <c r="C61" s="369"/>
      <c r="D61" s="369"/>
      <c r="E61" s="369" t="s">
        <v>610</v>
      </c>
      <c r="F61" s="438"/>
    </row>
    <row r="62" spans="3:6">
      <c r="C62" s="369"/>
      <c r="D62" s="369"/>
      <c r="E62" s="369" t="s">
        <v>611</v>
      </c>
      <c r="F62" s="438"/>
    </row>
    <row r="63" spans="3:6" ht="30">
      <c r="C63" s="369" t="s">
        <v>612</v>
      </c>
      <c r="D63" s="369" t="s">
        <v>613</v>
      </c>
      <c r="E63" s="369" t="s">
        <v>614</v>
      </c>
      <c r="F63" s="438"/>
    </row>
    <row r="64" spans="3:6">
      <c r="C64" s="369"/>
      <c r="D64" s="369"/>
      <c r="E64" s="369" t="s">
        <v>615</v>
      </c>
      <c r="F64" s="438"/>
    </row>
    <row r="65" spans="1:6" ht="45">
      <c r="C65" s="369" t="s">
        <v>616</v>
      </c>
      <c r="D65" s="369" t="s">
        <v>617</v>
      </c>
      <c r="E65" s="369" t="s">
        <v>618</v>
      </c>
      <c r="F65" s="438"/>
    </row>
    <row r="66" spans="1:6">
      <c r="C66" s="369"/>
      <c r="D66" s="369"/>
      <c r="E66" s="369" t="s">
        <v>619</v>
      </c>
      <c r="F66" s="438"/>
    </row>
    <row r="67" spans="1:6">
      <c r="C67" s="369"/>
      <c r="D67" s="369"/>
      <c r="E67" s="369" t="s">
        <v>620</v>
      </c>
      <c r="F67" s="438"/>
    </row>
    <row r="68" spans="1:6" ht="16" thickBot="1">
      <c r="C68" s="371"/>
      <c r="D68" s="371"/>
      <c r="E68" s="371" t="s">
        <v>621</v>
      </c>
      <c r="F68" s="439"/>
    </row>
    <row r="69" spans="1:6" ht="60">
      <c r="C69" s="368" t="s">
        <v>622</v>
      </c>
      <c r="D69" s="368" t="s">
        <v>623</v>
      </c>
      <c r="E69" s="368" t="s">
        <v>624</v>
      </c>
      <c r="F69" s="440">
        <v>8</v>
      </c>
    </row>
    <row r="70" spans="1:6">
      <c r="E70" s="368" t="s">
        <v>625</v>
      </c>
      <c r="F70" s="441"/>
    </row>
    <row r="71" spans="1:6">
      <c r="E71" s="368" t="s">
        <v>626</v>
      </c>
      <c r="F71" s="441"/>
    </row>
    <row r="72" spans="1:6">
      <c r="E72" s="368" t="s">
        <v>627</v>
      </c>
      <c r="F72" s="441"/>
    </row>
    <row r="73" spans="1:6">
      <c r="E73" s="368" t="s">
        <v>628</v>
      </c>
      <c r="F73" s="441"/>
    </row>
    <row r="74" spans="1:6" ht="45">
      <c r="C74" s="368" t="s">
        <v>629</v>
      </c>
      <c r="D74" s="368" t="s">
        <v>630</v>
      </c>
      <c r="E74" s="368" t="s">
        <v>631</v>
      </c>
      <c r="F74" s="441"/>
    </row>
    <row r="75" spans="1:6">
      <c r="E75" s="368" t="s">
        <v>632</v>
      </c>
      <c r="F75" s="441"/>
    </row>
    <row r="76" spans="1:6" ht="16" thickBot="1">
      <c r="A76" s="371"/>
      <c r="B76" s="371"/>
      <c r="C76" s="371"/>
      <c r="D76" s="371"/>
      <c r="E76" s="371" t="s">
        <v>633</v>
      </c>
      <c r="F76" s="439"/>
    </row>
  </sheetData>
  <sheetProtection password="9B76" sheet="1" objects="1" scenarios="1"/>
  <mergeCells count="3">
    <mergeCell ref="F2:F15"/>
    <mergeCell ref="F16:F68"/>
    <mergeCell ref="F69:F7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dimension ref="A2:K6"/>
  <sheetViews>
    <sheetView workbookViewId="0">
      <selection activeCell="F21" sqref="F21"/>
    </sheetView>
  </sheetViews>
  <sheetFormatPr baseColWidth="10" defaultColWidth="8.83203125" defaultRowHeight="14" x14ac:dyDescent="0"/>
  <cols>
    <col min="6" max="6" width="23.5" bestFit="1" customWidth="1"/>
    <col min="8" max="8" width="39.83203125" bestFit="1" customWidth="1"/>
  </cols>
  <sheetData>
    <row r="2" spans="1:11" s="28" customFormat="1" ht="15" thickBot="1">
      <c r="A2" s="328" t="s">
        <v>477</v>
      </c>
      <c r="E2" s="328" t="s">
        <v>473</v>
      </c>
      <c r="H2" s="328" t="s">
        <v>474</v>
      </c>
      <c r="K2" s="328" t="s">
        <v>475</v>
      </c>
    </row>
    <row r="3" spans="1:11" ht="15" thickBot="1">
      <c r="A3" t="s">
        <v>0</v>
      </c>
      <c r="B3" t="s">
        <v>2</v>
      </c>
      <c r="C3" t="s">
        <v>2</v>
      </c>
      <c r="E3" s="308" t="e">
        <f>(MAX('[1]2.SocialRiskCalc'!E41:E43)*'[1]2.SocialRiskCalc'!E44+MAX('[1]2.SocialRiskCalc'!F41:F43)*'[1]2.SocialRiskCalc'!F44)/('[1]2.SocialRiskCalc'!E44+'[1]2.SocialRiskCalc'!F44)</f>
        <v>#REF!</v>
      </c>
      <c r="F3" s="306" t="s">
        <v>439</v>
      </c>
      <c r="G3" s="28"/>
      <c r="H3" s="15" t="s">
        <v>329</v>
      </c>
      <c r="I3" s="17">
        <v>94</v>
      </c>
      <c r="J3" s="28"/>
      <c r="K3" s="28" t="s">
        <v>16</v>
      </c>
    </row>
    <row r="4" spans="1:11" ht="15" thickBot="1">
      <c r="A4" t="s">
        <v>1</v>
      </c>
      <c r="B4" t="s">
        <v>3</v>
      </c>
      <c r="C4" t="s">
        <v>4</v>
      </c>
      <c r="E4" s="307" t="e">
        <f>(SUMPRODUCT('[1]2.SocialRiskCalc'!E41:E43)*'[1]2.SocialRiskCalc'!E44+SUMPRODUCT('[1]2.SocialRiskCalc'!F41:F43)*'[1]2.SocialRiskCalc'!F44)/('[1]2.SocialRiskCalc'!E44*COUNT('[1]2.SocialRiskCalc'!E41:E43)+'[1]2.SocialRiskCalc'!F44*COUNT('[1]2.SocialRiskCalc'!F41:F43))</f>
        <v>#REF!</v>
      </c>
      <c r="F4" s="306" t="s">
        <v>440</v>
      </c>
      <c r="G4" s="28"/>
      <c r="H4" s="15" t="s">
        <v>331</v>
      </c>
      <c r="I4" s="17">
        <v>68</v>
      </c>
      <c r="J4" s="28"/>
      <c r="K4" s="28" t="s">
        <v>476</v>
      </c>
    </row>
    <row r="5" spans="1:11">
      <c r="B5" t="s">
        <v>4</v>
      </c>
      <c r="C5" t="s">
        <v>353</v>
      </c>
      <c r="E5" s="28"/>
      <c r="F5" s="28"/>
      <c r="G5" s="28"/>
      <c r="H5" s="16" t="s">
        <v>13</v>
      </c>
      <c r="I5" s="17">
        <v>1.4</v>
      </c>
      <c r="J5" s="28"/>
      <c r="K5" t="s">
        <v>479</v>
      </c>
    </row>
    <row r="6" spans="1:11">
      <c r="K6" s="28" t="s">
        <v>478</v>
      </c>
    </row>
  </sheetData>
  <customSheetViews>
    <customSheetView guid="{B86257EE-0156-41F8-B4C2-E78E8DECB83A}">
      <selection activeCell="K17" sqref="K17"/>
    </customSheetView>
    <customSheetView guid="{033A95D0-94F2-0942-BC86-50E37364F610}">
      <selection activeCell="K17" sqref="K17"/>
    </customSheetView>
  </customSheetViews>
  <dataValidations count="3">
    <dataValidation allowBlank="1" showInputMessage="1" showErrorMessage="1" prompt="Lowering this score _x000a_increases the sample size estimation for higher risk scenarios (SRS &gt;= 120 (initial audit) or 130)" sqref="I3"/>
    <dataValidation allowBlank="1" showInputMessage="1" showErrorMessage="1" prompt="Increasing this score increases the sample size estimation for lower risk scenarios (SRS &lt; 120 (initial audit) or 130)" sqref="I4"/>
    <dataValidation allowBlank="1" showInputMessage="1" showErrorMessage="1" prompt="Enter a value from &gt;1 to 2 (SQRT) - increasing this value will lower the sample-size for higher, relative to lower total numbers of workers accross the UoC." sqref="I5"/>
  </dataValidation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1.Multi-SiteCalc</vt:lpstr>
      <vt:lpstr>SocialRiskCalc</vt:lpstr>
      <vt:lpstr>Audit risk analysis</vt:lpstr>
      <vt:lpstr>CountryRisk</vt:lpstr>
      <vt:lpstr>Aligned standard</vt:lpstr>
      <vt:lpstr>Lookup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Read</dc:creator>
  <cp:lastModifiedBy>Vân Roetert</cp:lastModifiedBy>
  <dcterms:created xsi:type="dcterms:W3CDTF">2017-02-09T15:28:01Z</dcterms:created>
  <dcterms:modified xsi:type="dcterms:W3CDTF">2019-03-07T05:06:31Z</dcterms:modified>
</cp:coreProperties>
</file>